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o Studio" sheetId="1" r:id="rId4"/>
    <sheet state="visible" name="Goal Based (New)" sheetId="2" r:id="rId5"/>
    <sheet state="visible" name="Portafoglio" sheetId="3" r:id="rId6"/>
  </sheets>
  <definedNames/>
  <calcPr/>
</workbook>
</file>

<file path=xl/sharedStrings.xml><?xml version="1.0" encoding="utf-8"?>
<sst xmlns="http://schemas.openxmlformats.org/spreadsheetml/2006/main" count="148" uniqueCount="143">
  <si>
    <t>Situazione Famigliare</t>
  </si>
  <si>
    <t>Descrizione</t>
  </si>
  <si>
    <t>Reddito 
annuo Netto</t>
  </si>
  <si>
    <t>Obiettivi</t>
  </si>
  <si>
    <t>Adulto 1</t>
  </si>
  <si>
    <t>38 anni - Dipendente a tempo indeterminato
presso solita realtà multinazionale nel settore energia</t>
  </si>
  <si>
    <t xml:space="preserve">
* Cambiare casa tra 5-7 anni
* Università Figlio 1 tra 13 anni
* Università Figlio 2 tra 16 anni
* Semi-Fire tra 20 anni
</t>
  </si>
  <si>
    <t>Adulto 2</t>
  </si>
  <si>
    <t>34 anni - Libero professionista nel settore della 
pubblicità digitale</t>
  </si>
  <si>
    <t>Figlio 1</t>
  </si>
  <si>
    <t>6 anni - prima elementare</t>
  </si>
  <si>
    <t>Figlio 2</t>
  </si>
  <si>
    <t>3 anni - scuola materna</t>
  </si>
  <si>
    <t>Reddito Mensile Netto</t>
  </si>
  <si>
    <t>Reddito medio famiglie</t>
  </si>
  <si>
    <t>Crescita annua risparmio</t>
  </si>
  <si>
    <t>Baseline 60/40</t>
  </si>
  <si>
    <t>Spese Fisse</t>
  </si>
  <si>
    <t>Reddito mediano famiglie</t>
  </si>
  <si>
    <t>Orizzonte temporale</t>
  </si>
  <si>
    <t>HC Equity-Like</t>
  </si>
  <si>
    <t>Equity allocation</t>
  </si>
  <si>
    <t>Mutuo</t>
  </si>
  <si>
    <t>% componente equity-like HC</t>
  </si>
  <si>
    <t>Trasporto (auto, bollo, assicurazione, revisione, ecc.)</t>
  </si>
  <si>
    <t xml:space="preserve">Tasso di sconto </t>
  </si>
  <si>
    <t>Spesa alimentare</t>
  </si>
  <si>
    <t>Coefficiente di correzione portafoglio</t>
  </si>
  <si>
    <t>Rette scolastiche</t>
  </si>
  <si>
    <t>Abbonamenti e subscription</t>
  </si>
  <si>
    <t>Valore attuale risparmio futuro (25Y)</t>
  </si>
  <si>
    <t>Totale Spese Fisse</t>
  </si>
  <si>
    <t>Quota Equity like</t>
  </si>
  <si>
    <t>Reddito - Spese Fisse</t>
  </si>
  <si>
    <t>Tasso di risparmio</t>
  </si>
  <si>
    <t>Risparmio investibile</t>
  </si>
  <si>
    <t>Investimento</t>
  </si>
  <si>
    <t>Risparmio / Reddito Totale</t>
  </si>
  <si>
    <t>Capitale umano (HC) + finanziario (FC)</t>
  </si>
  <si>
    <t>Spese Variabili</t>
  </si>
  <si>
    <t>Abbigliamento</t>
  </si>
  <si>
    <t>Ristorazione</t>
  </si>
  <si>
    <t>Viaggi</t>
  </si>
  <si>
    <t>Beni di consumo</t>
  </si>
  <si>
    <t>Spese mediche</t>
  </si>
  <si>
    <t>Altro</t>
  </si>
  <si>
    <t>Totale Spese Variabili</t>
  </si>
  <si>
    <t>Risparmio netto residuo</t>
  </si>
  <si>
    <t>Risparmio cash</t>
  </si>
  <si>
    <t>Fondo di emergenza</t>
  </si>
  <si>
    <t>Mesi di spese per FdE</t>
  </si>
  <si>
    <t>Valore immobile</t>
  </si>
  <si>
    <t>Mutuo residuo</t>
  </si>
  <si>
    <t>Valore immobile (5 anni)</t>
  </si>
  <si>
    <t>Mutuo residuo (5 anni)</t>
  </si>
  <si>
    <t>OBIETTIVI</t>
  </si>
  <si>
    <t>1)</t>
  </si>
  <si>
    <t>Acquisto casa</t>
  </si>
  <si>
    <t>Compravendita casa attuale</t>
  </si>
  <si>
    <t>Acconto</t>
  </si>
  <si>
    <t>Arredamento</t>
  </si>
  <si>
    <t>Lavori</t>
  </si>
  <si>
    <t>Spese (notaio, agente, ecc.)</t>
  </si>
  <si>
    <t>2)</t>
  </si>
  <si>
    <t>Università Figlio #1</t>
  </si>
  <si>
    <t>3)</t>
  </si>
  <si>
    <t>Università Figlio #2</t>
  </si>
  <si>
    <t xml:space="preserve">4) </t>
  </si>
  <si>
    <t>Semi FIRE</t>
  </si>
  <si>
    <t>Goal</t>
  </si>
  <si>
    <t xml:space="preserve">Years </t>
  </si>
  <si>
    <t>Weight</t>
  </si>
  <si>
    <t>Investable Assets</t>
  </si>
  <si>
    <t>Return Target</t>
  </si>
  <si>
    <t>Terminal Wealth</t>
  </si>
  <si>
    <t>"Bucket" Portfolios</t>
  </si>
  <si>
    <t>Volatility</t>
  </si>
  <si>
    <t>Min Exp Return</t>
  </si>
  <si>
    <t>Min Terminal Wealth</t>
  </si>
  <si>
    <t>Real MTW</t>
  </si>
  <si>
    <t>SFC</t>
  </si>
  <si>
    <t>Prob. of success</t>
  </si>
  <si>
    <t>Horizon Volatility</t>
  </si>
  <si>
    <t>Rebalancing bonus</t>
  </si>
  <si>
    <t>Stocks</t>
  </si>
  <si>
    <t>Bonds</t>
  </si>
  <si>
    <t>GEOM</t>
  </si>
  <si>
    <t>Università figlio #1</t>
  </si>
  <si>
    <t>ARITH</t>
  </si>
  <si>
    <t>Università figlio #2</t>
  </si>
  <si>
    <t>Overall portfolio</t>
  </si>
  <si>
    <t>Initial Wealth</t>
  </si>
  <si>
    <t>Monthly Contribution</t>
  </si>
  <si>
    <t>Stocks Exp. Return</t>
  </si>
  <si>
    <t>Bonds Exp. Return</t>
  </si>
  <si>
    <t>Stocks Volatilty</t>
  </si>
  <si>
    <t>Bonds Volatilty</t>
  </si>
  <si>
    <t>Stocks–Bonds 
correlation</t>
  </si>
  <si>
    <t>Return inputs type 
(ARITH/GEOM)</t>
  </si>
  <si>
    <t>Inflation</t>
  </si>
  <si>
    <t xml:space="preserve">Disclaimer: questo file ha uno scopo puramente illustrativo ed esemplificativo e </t>
  </si>
  <si>
    <t>non deve  essere inteso come strumento di pianificazione finanziaria.</t>
  </si>
  <si>
    <t>Asset Allocation</t>
  </si>
  <si>
    <t>Asset class</t>
  </si>
  <si>
    <t>% Allocation</t>
  </si>
  <si>
    <t>Importo PAC</t>
  </si>
  <si>
    <t>Strumento</t>
  </si>
  <si>
    <t>ISIN</t>
  </si>
  <si>
    <t>Prezzo</t>
  </si>
  <si>
    <t>Quote</t>
  </si>
  <si>
    <t>Azioni</t>
  </si>
  <si>
    <t>Esposizione geografica</t>
  </si>
  <si>
    <t>S&amp;P 500</t>
  </si>
  <si>
    <t>SPDR S&amp;P 500 UCITS ETF (Acc)</t>
  </si>
  <si>
    <t>IE000XZSV718</t>
  </si>
  <si>
    <t>US</t>
  </si>
  <si>
    <t>MSCI exUSA</t>
  </si>
  <si>
    <t>iShares MSCI World ex-USA UCITS ETF USD (Acc)</t>
  </si>
  <si>
    <t>IE000R4ZNTN3</t>
  </si>
  <si>
    <t>DM</t>
  </si>
  <si>
    <t>MSCI EM</t>
  </si>
  <si>
    <t>Amundi MSCI Emerging Markets Swap UCITS ETF EUR Acc</t>
  </si>
  <si>
    <t>LU1681045370</t>
  </si>
  <si>
    <t>EM</t>
  </si>
  <si>
    <t>Multifattore</t>
  </si>
  <si>
    <t>Invesco Quantitative Strategies ESG Global Equity Multi-Factor UCITS ETF Acc</t>
  </si>
  <si>
    <t>IE00BJQRDN15</t>
  </si>
  <si>
    <t>Obbligazioni</t>
  </si>
  <si>
    <t>Titoli di Stato EU - Inflation Linked</t>
  </si>
  <si>
    <t>Amundi Euro Government Inflation-Linked Bond UCITS ETF Acc</t>
  </si>
  <si>
    <t>LU1650491282</t>
  </si>
  <si>
    <t>Global Aggregate (Eur Hedged)</t>
  </si>
  <si>
    <t>iShares Core Global Aggregate Bond UCITS ETF EUR Hedged (Acc)</t>
  </si>
  <si>
    <t>IE00BDBRDM35</t>
  </si>
  <si>
    <t>Alternativi</t>
  </si>
  <si>
    <t>Oro</t>
  </si>
  <si>
    <t>iShares Physical Gold ETC</t>
  </si>
  <si>
    <t>IE00B4ND3602</t>
  </si>
  <si>
    <t>Materie Prime</t>
  </si>
  <si>
    <t>iShares Bloomberg Roll Select Commodity Swap UCITS ETF USD</t>
  </si>
  <si>
    <t>IE00BZ1NCS44</t>
  </si>
  <si>
    <t>Totale realmente investito (mese)</t>
  </si>
  <si>
    <t>Totale realmente investito (trimestre)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</si>
</sst>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[$€]#,##0"/>
    <numFmt numFmtId="165" formatCode="0.0%"/>
    <numFmt numFmtId="166" formatCode="&quot;$&quot;#,##0.00"/>
    <numFmt numFmtId="167" formatCode="#,##0.00&quot;€&quot;"/>
    <numFmt numFmtId="168" formatCode="#,##0&quot;€&quot;"/>
    <numFmt numFmtId="169" formatCode="[$€]#,##0.00"/>
  </numFmts>
  <fonts count="13">
    <font>
      <sz val="10.0"/>
      <color rgb="FF000000"/>
      <name val="Arial"/>
      <scheme val="minor"/>
    </font>
    <font>
      <b/>
      <sz val="11.0"/>
      <color theme="1"/>
      <name val="Inter"/>
    </font>
    <font>
      <color theme="1"/>
      <name val="Arial"/>
    </font>
    <font>
      <sz val="11.0"/>
      <color theme="1"/>
      <name val="Inter"/>
    </font>
    <font/>
    <font>
      <i/>
      <sz val="11.0"/>
      <color theme="1"/>
      <name val="Inter"/>
    </font>
    <font>
      <color theme="1"/>
      <name val="Arial"/>
      <scheme val="minor"/>
    </font>
    <font>
      <b/>
      <i/>
      <sz val="11.0"/>
      <color theme="1"/>
      <name val="Inter"/>
    </font>
    <font>
      <i/>
      <color theme="1"/>
      <name val="Arial"/>
    </font>
    <font>
      <color theme="1"/>
      <name val="Inter"/>
    </font>
    <font>
      <b/>
      <i/>
      <color theme="1"/>
      <name val="Inter"/>
    </font>
    <font>
      <b/>
      <u/>
      <color theme="1"/>
      <name val="Arial"/>
    </font>
    <font>
      <b/>
      <color theme="1"/>
      <name val="Arial"/>
      <scheme val="minor"/>
    </font>
  </fonts>
  <fills count="3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E67C73"/>
        <bgColor rgb="FFE67C73"/>
      </patternFill>
    </fill>
    <fill>
      <patternFill patternType="solid">
        <fgColor rgb="FFEFF9F4"/>
        <bgColor rgb="FFEFF9F4"/>
      </patternFill>
    </fill>
    <fill>
      <patternFill patternType="solid">
        <fgColor rgb="FFEC8F70"/>
        <bgColor rgb="FFEC8F70"/>
      </patternFill>
    </fill>
    <fill>
      <patternFill patternType="solid">
        <fgColor rgb="FFDEF2E8"/>
        <bgColor rgb="FFDEF2E8"/>
      </patternFill>
    </fill>
    <fill>
      <patternFill patternType="solid">
        <fgColor rgb="FFF0A06D"/>
        <bgColor rgb="FFF0A06D"/>
      </patternFill>
    </fill>
    <fill>
      <patternFill patternType="solid">
        <fgColor rgb="FFCDEBDC"/>
        <bgColor rgb="FFCDEBDC"/>
      </patternFill>
    </fill>
    <fill>
      <patternFill patternType="solid">
        <fgColor rgb="FFF5B26B"/>
        <bgColor rgb="FFF5B26B"/>
      </patternFill>
    </fill>
    <fill>
      <patternFill patternType="solid">
        <fgColor rgb="FFBCE4D1"/>
        <bgColor rgb="FFBCE4D1"/>
      </patternFill>
    </fill>
    <fill>
      <patternFill patternType="solid">
        <fgColor rgb="FFFAC468"/>
        <bgColor rgb="FFFAC468"/>
      </patternFill>
    </fill>
    <fill>
      <patternFill patternType="solid">
        <fgColor rgb="FFABDDC5"/>
        <bgColor rgb="FFABDDC5"/>
      </patternFill>
    </fill>
    <fill>
      <patternFill patternType="solid">
        <fgColor rgb="FFFFD666"/>
        <bgColor rgb="FFFFD666"/>
      </patternFill>
    </fill>
    <fill>
      <patternFill patternType="solid">
        <fgColor rgb="FF9BD7B9"/>
        <bgColor rgb="FF9BD7B9"/>
      </patternFill>
    </fill>
    <fill>
      <patternFill patternType="solid">
        <fgColor rgb="FFDDD06E"/>
        <bgColor rgb="FFDDD06E"/>
      </patternFill>
    </fill>
    <fill>
      <patternFill patternType="solid">
        <fgColor rgb="FFCFE2F3"/>
        <bgColor rgb="FFCFE2F3"/>
      </patternFill>
    </fill>
    <fill>
      <patternFill patternType="solid">
        <fgColor rgb="FF8AD0AE"/>
        <bgColor rgb="FF8AD0AE"/>
      </patternFill>
    </fill>
    <fill>
      <patternFill patternType="solid">
        <fgColor rgb="FFBBCB75"/>
        <bgColor rgb="FFBBCB75"/>
      </patternFill>
    </fill>
    <fill>
      <patternFill patternType="solid">
        <fgColor rgb="FFFFF2CC"/>
        <bgColor rgb="FFFFF2CC"/>
      </patternFill>
    </fill>
    <fill>
      <patternFill patternType="solid">
        <fgColor rgb="FF79C9A2"/>
        <bgColor rgb="FF79C9A2"/>
      </patternFill>
    </fill>
    <fill>
      <patternFill patternType="solid">
        <fgColor rgb="FF9AC57C"/>
        <bgColor rgb="FF9AC57C"/>
      </patternFill>
    </fill>
    <fill>
      <patternFill patternType="solid">
        <fgColor rgb="FF68C296"/>
        <bgColor rgb="FF68C296"/>
      </patternFill>
    </fill>
    <fill>
      <patternFill patternType="solid">
        <fgColor rgb="FF78C083"/>
        <bgColor rgb="FF78C083"/>
      </patternFill>
    </fill>
    <fill>
      <patternFill patternType="solid">
        <fgColor rgb="FF57BB8A"/>
        <bgColor rgb="FF57BB8A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BBC04"/>
        <bgColor rgb="FFFBBC04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</fills>
  <borders count="3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top style="thin">
        <color rgb="FF000000"/>
      </top>
    </border>
    <border>
      <left/>
      <right style="thin">
        <color rgb="FF000000"/>
      </right>
      <top/>
      <bottom/>
    </border>
    <border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/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ck">
        <color rgb="FF000000"/>
      </left>
      <right/>
      <top style="thick">
        <color rgb="FF000000"/>
      </top>
      <bottom/>
    </border>
    <border>
      <left/>
      <right/>
      <top style="thick">
        <color rgb="FF000000"/>
      </top>
      <bottom/>
    </border>
    <border>
      <left/>
      <right style="thick">
        <color rgb="FF000000"/>
      </right>
      <top style="thick">
        <color rgb="FF000000"/>
      </top>
      <bottom/>
    </border>
    <border>
      <left style="thick">
        <color rgb="FF000000"/>
      </left>
      <right/>
      <top/>
      <bottom style="thick">
        <color rgb="FF000000"/>
      </bottom>
    </border>
    <border>
      <left/>
      <right/>
      <top/>
      <bottom style="thick">
        <color rgb="FF000000"/>
      </bottom>
    </border>
    <border>
      <left/>
      <right style="thick">
        <color rgb="FF000000"/>
      </right>
      <top/>
      <bottom style="thick">
        <color rgb="FF00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3" fillId="2" fontId="3" numFmtId="164" xfId="0" applyAlignment="1" applyBorder="1" applyFill="1" applyFont="1" applyNumberFormat="1">
      <alignment horizontal="right" vertical="bottom"/>
    </xf>
    <xf borderId="2" fillId="0" fontId="3" numFmtId="0" xfId="0" applyAlignment="1" applyBorder="1" applyFont="1">
      <alignment vertical="bottom"/>
    </xf>
    <xf borderId="4" fillId="0" fontId="4" numFmtId="0" xfId="0" applyBorder="1" applyFont="1"/>
    <xf borderId="3" fillId="0" fontId="2" numFmtId="164" xfId="0" applyAlignment="1" applyBorder="1" applyFont="1" applyNumberFormat="1">
      <alignment vertical="bottom"/>
    </xf>
    <xf borderId="5" fillId="0" fontId="2" numFmtId="0" xfId="0" applyAlignment="1" applyBorder="1" applyFont="1">
      <alignment vertical="bottom"/>
    </xf>
    <xf borderId="6" fillId="3" fontId="1" numFmtId="0" xfId="0" applyAlignment="1" applyBorder="1" applyFill="1" applyFont="1">
      <alignment vertical="bottom"/>
    </xf>
    <xf borderId="6" fillId="3" fontId="1" numFmtId="164" xfId="0" applyAlignment="1" applyBorder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164" xfId="0" applyAlignment="1" applyFont="1" applyNumberFormat="1">
      <alignment horizontal="right" vertical="bottom"/>
    </xf>
    <xf borderId="7" fillId="0" fontId="3" numFmtId="0" xfId="0" applyAlignment="1" applyBorder="1" applyFont="1">
      <alignment vertical="bottom"/>
    </xf>
    <xf borderId="8" fillId="0" fontId="2" numFmtId="0" xfId="0" applyAlignment="1" applyBorder="1" applyFont="1">
      <alignment vertical="bottom"/>
    </xf>
    <xf borderId="8" fillId="2" fontId="3" numFmtId="165" xfId="0" applyAlignment="1" applyBorder="1" applyFont="1" applyNumberFormat="1">
      <alignment horizontal="right" vertical="bottom"/>
    </xf>
    <xf borderId="8" fillId="0" fontId="1" numFmtId="0" xfId="0" applyAlignment="1" applyBorder="1" applyFont="1">
      <alignment horizontal="center" vertical="bottom"/>
    </xf>
    <xf borderId="9" fillId="0" fontId="4" numFmtId="0" xfId="0" applyBorder="1" applyFont="1"/>
    <xf borderId="0" fillId="4" fontId="3" numFmtId="0" xfId="0" applyAlignment="1" applyFill="1" applyFont="1">
      <alignment vertical="bottom"/>
    </xf>
    <xf borderId="0" fillId="4" fontId="2" numFmtId="164" xfId="0" applyAlignment="1" applyFont="1" applyNumberFormat="1">
      <alignment vertical="bottom"/>
    </xf>
    <xf borderId="10" fillId="0" fontId="3" numFmtId="0" xfId="0" applyAlignment="1" applyBorder="1" applyFont="1">
      <alignment vertical="bottom"/>
    </xf>
    <xf borderId="0" fillId="2" fontId="3" numFmtId="3" xfId="0" applyAlignment="1" applyFont="1" applyNumberFormat="1">
      <alignment horizontal="right" vertical="bottom"/>
    </xf>
    <xf borderId="0" fillId="0" fontId="3" numFmtId="0" xfId="0" applyAlignment="1" applyFont="1">
      <alignment horizontal="center" readingOrder="0" vertical="bottom"/>
    </xf>
    <xf borderId="11" fillId="0" fontId="3" numFmtId="0" xfId="0" applyAlignment="1" applyBorder="1" applyFont="1">
      <alignment horizontal="center" vertical="bottom"/>
    </xf>
    <xf borderId="0" fillId="0" fontId="5" numFmtId="0" xfId="0" applyAlignment="1" applyFont="1">
      <alignment vertical="bottom"/>
    </xf>
    <xf borderId="0" fillId="2" fontId="3" numFmtId="164" xfId="0" applyAlignment="1" applyFont="1" applyNumberFormat="1">
      <alignment horizontal="right" vertical="bottom"/>
    </xf>
    <xf borderId="0" fillId="2" fontId="3" numFmtId="9" xfId="0" applyAlignment="1" applyFont="1" applyNumberFormat="1">
      <alignment horizontal="right" readingOrder="0" vertical="bottom"/>
    </xf>
    <xf borderId="0" fillId="5" fontId="3" numFmtId="9" xfId="0" applyAlignment="1" applyFill="1" applyFont="1" applyNumberFormat="1">
      <alignment horizontal="center" vertical="bottom"/>
    </xf>
    <xf borderId="11" fillId="6" fontId="3" numFmtId="9" xfId="0" applyAlignment="1" applyBorder="1" applyFill="1" applyFont="1" applyNumberFormat="1">
      <alignment horizontal="center" vertical="bottom"/>
    </xf>
    <xf borderId="0" fillId="0" fontId="3" numFmtId="165" xfId="0" applyAlignment="1" applyFont="1" applyNumberFormat="1">
      <alignment horizontal="right" vertical="bottom"/>
    </xf>
    <xf borderId="0" fillId="7" fontId="3" numFmtId="9" xfId="0" applyAlignment="1" applyFill="1" applyFont="1" applyNumberFormat="1">
      <alignment horizontal="center" vertical="bottom"/>
    </xf>
    <xf borderId="11" fillId="8" fontId="3" numFmtId="9" xfId="0" applyAlignment="1" applyBorder="1" applyFill="1" applyFont="1" applyNumberFormat="1">
      <alignment horizontal="center" vertical="bottom"/>
    </xf>
    <xf borderId="0" fillId="0" fontId="3" numFmtId="4" xfId="0" applyAlignment="1" applyFont="1" applyNumberFormat="1">
      <alignment horizontal="right" vertical="bottom"/>
    </xf>
    <xf borderId="0" fillId="9" fontId="3" numFmtId="9" xfId="0" applyAlignment="1" applyFill="1" applyFont="1" applyNumberFormat="1">
      <alignment horizontal="center" vertical="bottom"/>
    </xf>
    <xf borderId="11" fillId="10" fontId="3" numFmtId="9" xfId="0" applyAlignment="1" applyBorder="1" applyFill="1" applyFont="1" applyNumberFormat="1">
      <alignment horizontal="center" vertical="bottom"/>
    </xf>
    <xf borderId="10" fillId="0" fontId="6" numFmtId="0" xfId="0" applyBorder="1" applyFont="1"/>
    <xf borderId="0" fillId="11" fontId="3" numFmtId="9" xfId="0" applyAlignment="1" applyFill="1" applyFont="1" applyNumberFormat="1">
      <alignment horizontal="center" vertical="bottom"/>
    </xf>
    <xf borderId="11" fillId="12" fontId="3" numFmtId="9" xfId="0" applyAlignment="1" applyBorder="1" applyFill="1" applyFont="1" applyNumberFormat="1">
      <alignment horizontal="center" vertical="bottom"/>
    </xf>
    <xf borderId="0" fillId="0" fontId="3" numFmtId="164" xfId="0" applyAlignment="1" applyFont="1" applyNumberFormat="1">
      <alignment horizontal="right" vertical="bottom"/>
    </xf>
    <xf borderId="0" fillId="13" fontId="3" numFmtId="9" xfId="0" applyAlignment="1" applyFill="1" applyFont="1" applyNumberFormat="1">
      <alignment horizontal="center" vertical="bottom"/>
    </xf>
    <xf borderId="11" fillId="14" fontId="3" numFmtId="9" xfId="0" applyAlignment="1" applyBorder="1" applyFill="1" applyFont="1" applyNumberFormat="1">
      <alignment horizontal="center" vertical="bottom"/>
    </xf>
    <xf borderId="12" fillId="4" fontId="1" numFmtId="0" xfId="0" applyAlignment="1" applyBorder="1" applyFont="1">
      <alignment vertical="bottom"/>
    </xf>
    <xf borderId="12" fillId="4" fontId="1" numFmtId="164" xfId="0" applyAlignment="1" applyBorder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15" fontId="3" numFmtId="9" xfId="0" applyAlignment="1" applyFill="1" applyFont="1" applyNumberFormat="1">
      <alignment horizontal="center" vertical="bottom"/>
    </xf>
    <xf borderId="11" fillId="16" fontId="3" numFmtId="9" xfId="0" applyAlignment="1" applyBorder="1" applyFill="1" applyFont="1" applyNumberFormat="1">
      <alignment horizontal="center" vertical="bottom"/>
    </xf>
    <xf borderId="0" fillId="0" fontId="7" numFmtId="0" xfId="0" applyAlignment="1" applyFont="1">
      <alignment horizontal="right" vertical="bottom"/>
    </xf>
    <xf borderId="1" fillId="2" fontId="1" numFmtId="9" xfId="0" applyAlignment="1" applyBorder="1" applyFont="1" applyNumberFormat="1">
      <alignment horizontal="right" vertical="bottom"/>
    </xf>
    <xf borderId="0" fillId="17" fontId="3" numFmtId="9" xfId="0" applyAlignment="1" applyFill="1" applyFont="1" applyNumberFormat="1">
      <alignment horizontal="center" vertical="bottom"/>
    </xf>
    <xf borderId="11" fillId="18" fontId="3" numFmtId="9" xfId="0" applyAlignment="1" applyBorder="1" applyFill="1" applyFont="1" applyNumberFormat="1">
      <alignment horizontal="center" vertical="bottom"/>
    </xf>
    <xf borderId="6" fillId="19" fontId="1" numFmtId="0" xfId="0" applyAlignment="1" applyBorder="1" applyFill="1" applyFont="1">
      <alignment vertical="bottom"/>
    </xf>
    <xf borderId="6" fillId="19" fontId="1" numFmtId="164" xfId="0" applyAlignment="1" applyBorder="1" applyFont="1" applyNumberFormat="1">
      <alignment horizontal="right" vertical="bottom"/>
    </xf>
    <xf borderId="0" fillId="0" fontId="8" numFmtId="0" xfId="0" applyAlignment="1" applyFont="1">
      <alignment horizontal="right" vertical="bottom"/>
    </xf>
    <xf borderId="0" fillId="0" fontId="8" numFmtId="9" xfId="0" applyAlignment="1" applyFont="1" applyNumberFormat="1">
      <alignment horizontal="right" vertical="bottom"/>
    </xf>
    <xf borderId="0" fillId="20" fontId="3" numFmtId="9" xfId="0" applyAlignment="1" applyFill="1" applyFont="1" applyNumberFormat="1">
      <alignment horizontal="center" vertical="bottom"/>
    </xf>
    <xf borderId="11" fillId="21" fontId="3" numFmtId="9" xfId="0" applyAlignment="1" applyBorder="1" applyFill="1" applyFont="1" applyNumberFormat="1">
      <alignment horizontal="center" vertical="bottom"/>
    </xf>
    <xf borderId="0" fillId="22" fontId="3" numFmtId="0" xfId="0" applyAlignment="1" applyFill="1" applyFont="1">
      <alignment vertical="bottom"/>
    </xf>
    <xf borderId="0" fillId="22" fontId="2" numFmtId="164" xfId="0" applyAlignment="1" applyFont="1" applyNumberFormat="1">
      <alignment vertical="bottom"/>
    </xf>
    <xf borderId="10" fillId="0" fontId="2" numFmtId="0" xfId="0" applyAlignment="1" applyBorder="1" applyFont="1">
      <alignment vertical="bottom"/>
    </xf>
    <xf borderId="0" fillId="23" fontId="3" numFmtId="9" xfId="0" applyAlignment="1" applyFill="1" applyFont="1" applyNumberFormat="1">
      <alignment horizontal="center" vertical="bottom"/>
    </xf>
    <xf borderId="11" fillId="24" fontId="3" numFmtId="9" xfId="0" applyAlignment="1" applyBorder="1" applyFill="1" applyFont="1" applyNumberFormat="1">
      <alignment horizontal="center" vertical="bottom"/>
    </xf>
    <xf borderId="0" fillId="0" fontId="2" numFmtId="9" xfId="0" applyAlignment="1" applyFont="1" applyNumberFormat="1">
      <alignment horizontal="left" readingOrder="0" vertical="bottom"/>
    </xf>
    <xf borderId="0" fillId="0" fontId="2" numFmtId="10" xfId="0" applyAlignment="1" applyFont="1" applyNumberFormat="1">
      <alignment vertical="bottom"/>
    </xf>
    <xf borderId="0" fillId="25" fontId="3" numFmtId="9" xfId="0" applyAlignment="1" applyFill="1" applyFont="1" applyNumberFormat="1">
      <alignment horizontal="center" vertical="bottom"/>
    </xf>
    <xf borderId="11" fillId="26" fontId="3" numFmtId="9" xfId="0" applyAlignment="1" applyBorder="1" applyFill="1" applyFont="1" applyNumberFormat="1">
      <alignment horizontal="center" vertical="bottom"/>
    </xf>
    <xf borderId="13" fillId="0" fontId="2" numFmtId="0" xfId="0" applyAlignment="1" applyBorder="1" applyFont="1">
      <alignment vertical="bottom"/>
    </xf>
    <xf borderId="14" fillId="0" fontId="2" numFmtId="0" xfId="0" applyAlignment="1" applyBorder="1" applyFont="1">
      <alignment vertical="bottom"/>
    </xf>
    <xf borderId="14" fillId="27" fontId="3" numFmtId="9" xfId="0" applyAlignment="1" applyBorder="1" applyFill="1" applyFont="1" applyNumberFormat="1">
      <alignment horizontal="center" vertical="bottom"/>
    </xf>
    <xf borderId="15" fillId="27" fontId="3" numFmtId="9" xfId="0" applyAlignment="1" applyBorder="1" applyFont="1" applyNumberFormat="1">
      <alignment horizontal="center" vertical="bottom"/>
    </xf>
    <xf borderId="0" fillId="0" fontId="2" numFmtId="166" xfId="0" applyAlignment="1" applyFont="1" applyNumberFormat="1">
      <alignment vertical="bottom"/>
    </xf>
    <xf borderId="0" fillId="0" fontId="2" numFmtId="9" xfId="0" applyAlignment="1" applyFont="1" applyNumberFormat="1">
      <alignment vertical="bottom"/>
    </xf>
    <xf borderId="12" fillId="22" fontId="1" numFmtId="0" xfId="0" applyAlignment="1" applyBorder="1" applyFont="1">
      <alignment vertical="bottom"/>
    </xf>
    <xf borderId="12" fillId="22" fontId="1" numFmtId="164" xfId="0" applyAlignment="1" applyBorder="1" applyFont="1" applyNumberFormat="1">
      <alignment horizontal="right" vertical="bottom"/>
    </xf>
    <xf borderId="6" fillId="28" fontId="1" numFmtId="0" xfId="0" applyAlignment="1" applyBorder="1" applyFill="1" applyFont="1">
      <alignment vertical="bottom"/>
    </xf>
    <xf borderId="6" fillId="28" fontId="1" numFmtId="164" xfId="0" applyAlignment="1" applyBorder="1" applyFont="1" applyNumberFormat="1">
      <alignment horizontal="right" vertical="bottom"/>
    </xf>
    <xf borderId="12" fillId="0" fontId="3" numFmtId="0" xfId="0" applyAlignment="1" applyBorder="1" applyFont="1">
      <alignment vertical="bottom"/>
    </xf>
    <xf borderId="12" fillId="2" fontId="3" numFmtId="164" xfId="0" applyAlignment="1" applyBorder="1" applyFont="1" applyNumberFormat="1">
      <alignment horizontal="right" vertical="bottom"/>
    </xf>
    <xf borderId="12" fillId="0" fontId="3" numFmtId="164" xfId="0" applyAlignment="1" applyBorder="1" applyFont="1" applyNumberFormat="1">
      <alignment horizontal="right" vertical="bottom"/>
    </xf>
    <xf borderId="1" fillId="2" fontId="1" numFmtId="3" xfId="0" applyAlignment="1" applyBorder="1" applyFont="1" applyNumberFormat="1">
      <alignment horizontal="right" vertical="bottom"/>
    </xf>
    <xf borderId="12" fillId="0" fontId="3" numFmtId="0" xfId="0" applyAlignment="1" applyBorder="1" applyFont="1">
      <alignment readingOrder="0" vertical="bottom"/>
    </xf>
    <xf borderId="12" fillId="29" fontId="3" numFmtId="164" xfId="0" applyAlignment="1" applyBorder="1" applyFill="1" applyFont="1" applyNumberFormat="1">
      <alignment horizontal="right" vertical="bottom"/>
    </xf>
    <xf borderId="0" fillId="0" fontId="7" numFmtId="0" xfId="0" applyAlignment="1" applyFont="1">
      <alignment vertical="bottom"/>
    </xf>
    <xf borderId="16" fillId="0" fontId="2" numFmtId="0" xfId="0" applyAlignment="1" applyBorder="1" applyFont="1">
      <alignment vertical="bottom"/>
    </xf>
    <xf borderId="16" fillId="0" fontId="2" numFmtId="164" xfId="0" applyAlignment="1" applyBorder="1" applyFont="1" applyNumberFormat="1">
      <alignment vertical="bottom"/>
    </xf>
    <xf borderId="0" fillId="0" fontId="1" numFmtId="0" xfId="0" applyAlignment="1" applyFont="1">
      <alignment horizontal="right" vertical="bottom"/>
    </xf>
    <xf borderId="12" fillId="0" fontId="1" numFmtId="0" xfId="0" applyAlignment="1" applyBorder="1" applyFont="1">
      <alignment vertical="bottom"/>
    </xf>
    <xf borderId="12" fillId="0" fontId="1" numFmtId="164" xfId="0" applyAlignment="1" applyBorder="1" applyFont="1" applyNumberFormat="1">
      <alignment horizontal="right" vertical="bottom"/>
    </xf>
    <xf borderId="0" fillId="2" fontId="3" numFmtId="164" xfId="0" applyAlignment="1" applyFont="1" applyNumberFormat="1">
      <alignment horizontal="right" readingOrder="0" vertical="bottom"/>
    </xf>
    <xf borderId="12" fillId="2" fontId="1" numFmtId="164" xfId="0" applyAlignment="1" applyBorder="1" applyFont="1" applyNumberFormat="1">
      <alignment horizontal="right" vertical="bottom"/>
    </xf>
    <xf borderId="12" fillId="0" fontId="1" numFmtId="0" xfId="0" applyAlignment="1" applyBorder="1" applyFont="1">
      <alignment horizontal="center" vertical="bottom"/>
    </xf>
    <xf borderId="12" fillId="0" fontId="1" numFmtId="0" xfId="0" applyAlignment="1" applyBorder="1" applyFont="1">
      <alignment horizontal="right" vertical="bottom"/>
    </xf>
    <xf borderId="12" fillId="0" fontId="4" numFmtId="0" xfId="0" applyBorder="1" applyFont="1"/>
    <xf borderId="0" fillId="0" fontId="2" numFmtId="167" xfId="0" applyAlignment="1" applyFont="1" applyNumberFormat="1">
      <alignment vertical="bottom"/>
    </xf>
    <xf borderId="0" fillId="0" fontId="1" numFmtId="0" xfId="0" applyAlignment="1" applyFont="1">
      <alignment horizontal="center" vertical="bottom"/>
    </xf>
    <xf borderId="17" fillId="2" fontId="5" numFmtId="0" xfId="0" applyAlignment="1" applyBorder="1" applyFont="1">
      <alignment vertical="bottom"/>
    </xf>
    <xf borderId="18" fillId="2" fontId="3" numFmtId="0" xfId="0" applyAlignment="1" applyBorder="1" applyFont="1">
      <alignment horizontal="center" vertical="bottom"/>
    </xf>
    <xf borderId="18" fillId="2" fontId="3" numFmtId="9" xfId="0" applyAlignment="1" applyBorder="1" applyFont="1" applyNumberFormat="1">
      <alignment horizontal="center" vertical="bottom"/>
    </xf>
    <xf borderId="19" fillId="0" fontId="3" numFmtId="168" xfId="0" applyAlignment="1" applyBorder="1" applyFont="1" applyNumberFormat="1">
      <alignment horizontal="right" vertical="bottom"/>
    </xf>
    <xf borderId="19" fillId="0" fontId="3" numFmtId="10" xfId="0" applyAlignment="1" applyBorder="1" applyFont="1" applyNumberFormat="1">
      <alignment horizontal="center" vertical="bottom"/>
    </xf>
    <xf borderId="19" fillId="0" fontId="3" numFmtId="9" xfId="0" applyAlignment="1" applyBorder="1" applyFont="1" applyNumberFormat="1">
      <alignment horizontal="center" vertical="bottom"/>
    </xf>
    <xf borderId="18" fillId="2" fontId="3" numFmtId="10" xfId="0" applyAlignment="1" applyBorder="1" applyFont="1" applyNumberFormat="1">
      <alignment horizontal="center" vertical="bottom"/>
    </xf>
    <xf borderId="19" fillId="0" fontId="3" numFmtId="3" xfId="0" applyAlignment="1" applyBorder="1" applyFont="1" applyNumberFormat="1">
      <alignment horizontal="right" vertical="bottom"/>
    </xf>
    <xf borderId="19" fillId="0" fontId="3" numFmtId="4" xfId="0" applyAlignment="1" applyBorder="1" applyFont="1" applyNumberFormat="1">
      <alignment horizontal="center" vertical="bottom"/>
    </xf>
    <xf borderId="0" fillId="0" fontId="3" numFmtId="10" xfId="0" applyAlignment="1" applyFont="1" applyNumberFormat="1">
      <alignment horizontal="center" vertical="bottom"/>
    </xf>
    <xf borderId="0" fillId="0" fontId="9" numFmtId="0" xfId="0" applyAlignment="1" applyFont="1">
      <alignment vertical="bottom"/>
    </xf>
    <xf borderId="18" fillId="2" fontId="3" numFmtId="9" xfId="0" applyAlignment="1" applyBorder="1" applyFont="1" applyNumberFormat="1">
      <alignment horizontal="center" readingOrder="0" vertical="bottom"/>
    </xf>
    <xf borderId="18" fillId="2" fontId="9" numFmtId="9" xfId="0" applyAlignment="1" applyBorder="1" applyFont="1" applyNumberFormat="1">
      <alignment horizontal="center" vertical="bottom"/>
    </xf>
    <xf borderId="18" fillId="2" fontId="3" numFmtId="10" xfId="0" applyAlignment="1" applyBorder="1" applyFont="1" applyNumberFormat="1">
      <alignment horizontal="center" readingOrder="0" vertical="bottom"/>
    </xf>
    <xf borderId="19" fillId="0" fontId="1" numFmtId="0" xfId="0" applyAlignment="1" applyBorder="1" applyFont="1">
      <alignment vertical="bottom"/>
    </xf>
    <xf borderId="19" fillId="0" fontId="1" numFmtId="0" xfId="0" applyAlignment="1" applyBorder="1" applyFont="1">
      <alignment horizontal="center" vertical="bottom"/>
    </xf>
    <xf borderId="19" fillId="0" fontId="1" numFmtId="9" xfId="0" applyAlignment="1" applyBorder="1" applyFont="1" applyNumberFormat="1">
      <alignment horizontal="center" vertical="bottom"/>
    </xf>
    <xf borderId="18" fillId="2" fontId="1" numFmtId="168" xfId="0" applyAlignment="1" applyBorder="1" applyFont="1" applyNumberFormat="1">
      <alignment horizontal="right" vertical="bottom"/>
    </xf>
    <xf borderId="19" fillId="0" fontId="1" numFmtId="10" xfId="0" applyAlignment="1" applyBorder="1" applyFont="1" applyNumberFormat="1">
      <alignment horizontal="center" vertical="bottom"/>
    </xf>
    <xf borderId="19" fillId="0" fontId="1" numFmtId="168" xfId="0" applyAlignment="1" applyBorder="1" applyFont="1" applyNumberFormat="1">
      <alignment horizontal="right" vertical="bottom"/>
    </xf>
    <xf borderId="19" fillId="0" fontId="1" numFmtId="165" xfId="0" applyAlignment="1" applyBorder="1" applyFont="1" applyNumberFormat="1">
      <alignment horizontal="center" vertical="bottom"/>
    </xf>
    <xf borderId="19" fillId="0" fontId="1" numFmtId="3" xfId="0" applyAlignment="1" applyBorder="1" applyFont="1" applyNumberFormat="1">
      <alignment horizontal="right" vertical="bottom"/>
    </xf>
    <xf borderId="19" fillId="0" fontId="1" numFmtId="4" xfId="0" applyAlignment="1" applyBorder="1" applyFont="1" applyNumberFormat="1">
      <alignment horizontal="center" vertical="bottom"/>
    </xf>
    <xf borderId="0" fillId="0" fontId="1" numFmtId="10" xfId="0" applyAlignment="1" applyFont="1" applyNumberFormat="1">
      <alignment horizontal="center" vertical="bottom"/>
    </xf>
    <xf borderId="0" fillId="0" fontId="2" numFmtId="165" xfId="0" applyAlignment="1" applyFont="1" applyNumberFormat="1">
      <alignment vertical="bottom"/>
    </xf>
    <xf borderId="20" fillId="0" fontId="5" numFmtId="0" xfId="0" applyAlignment="1" applyBorder="1" applyFont="1">
      <alignment vertical="bottom"/>
    </xf>
    <xf borderId="21" fillId="2" fontId="3" numFmtId="168" xfId="0" applyAlignment="1" applyBorder="1" applyFont="1" applyNumberFormat="1">
      <alignment horizontal="right" vertical="bottom"/>
    </xf>
    <xf borderId="22" fillId="0" fontId="5" numFmtId="0" xfId="0" applyAlignment="1" applyBorder="1" applyFont="1">
      <alignment vertical="bottom"/>
    </xf>
    <xf borderId="19" fillId="2" fontId="3" numFmtId="168" xfId="0" applyAlignment="1" applyBorder="1" applyFont="1" applyNumberFormat="1">
      <alignment horizontal="right" vertical="bottom"/>
    </xf>
    <xf borderId="23" fillId="2" fontId="3" numFmtId="10" xfId="0" applyAlignment="1" applyBorder="1" applyFont="1" applyNumberFormat="1">
      <alignment horizontal="right" vertical="bottom"/>
    </xf>
    <xf borderId="17" fillId="2" fontId="3" numFmtId="10" xfId="0" applyAlignment="1" applyBorder="1" applyFont="1" applyNumberFormat="1">
      <alignment horizontal="right" vertical="bottom"/>
    </xf>
    <xf borderId="24" fillId="0" fontId="5" numFmtId="0" xfId="0" applyAlignment="1" applyBorder="1" applyFont="1">
      <alignment vertical="bottom"/>
    </xf>
    <xf borderId="25" fillId="2" fontId="3" numFmtId="10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 vertical="bottom"/>
    </xf>
    <xf borderId="0" fillId="0" fontId="2" numFmtId="9" xfId="0" applyAlignment="1" applyFont="1" applyNumberFormat="1">
      <alignment readingOrder="0" vertical="bottom"/>
    </xf>
    <xf borderId="0" fillId="2" fontId="3" numFmtId="10" xfId="0" applyAlignment="1" applyFont="1" applyNumberFormat="1">
      <alignment horizontal="center" vertical="bottom"/>
    </xf>
    <xf borderId="26" fillId="30" fontId="10" numFmtId="0" xfId="0" applyAlignment="1" applyBorder="1" applyFill="1" applyFont="1">
      <alignment vertical="bottom"/>
    </xf>
    <xf borderId="27" fillId="30" fontId="2" numFmtId="0" xfId="0" applyAlignment="1" applyBorder="1" applyFont="1">
      <alignment vertical="bottom"/>
    </xf>
    <xf borderId="28" fillId="30" fontId="2" numFmtId="0" xfId="0" applyAlignment="1" applyBorder="1" applyFont="1">
      <alignment vertical="bottom"/>
    </xf>
    <xf borderId="0" fillId="29" fontId="2" numFmtId="0" xfId="0" applyAlignment="1" applyFont="1">
      <alignment vertical="bottom"/>
    </xf>
    <xf borderId="29" fillId="30" fontId="10" numFmtId="0" xfId="0" applyAlignment="1" applyBorder="1" applyFont="1">
      <alignment vertical="bottom"/>
    </xf>
    <xf borderId="30" fillId="30" fontId="2" numFmtId="0" xfId="0" applyAlignment="1" applyBorder="1" applyFont="1">
      <alignment vertical="bottom"/>
    </xf>
    <xf borderId="31" fillId="30" fontId="2" numFmtId="0" xfId="0" applyAlignment="1" applyBorder="1" applyFont="1">
      <alignment vertical="bottom"/>
    </xf>
    <xf borderId="0" fillId="0" fontId="11" numFmtId="0" xfId="0" applyAlignment="1" applyFont="1">
      <alignment vertical="bottom"/>
    </xf>
    <xf borderId="0" fillId="0" fontId="6" numFmtId="0" xfId="0" applyAlignment="1" applyFont="1">
      <alignment horizontal="left" readingOrder="0" shrinkToFit="0" vertical="center" wrapText="0"/>
    </xf>
    <xf borderId="0" fillId="0" fontId="6" numFmtId="49" xfId="0" applyAlignment="1" applyFont="1" applyNumberFormat="1">
      <alignment horizontal="left" readingOrder="0" shrinkToFit="0" vertical="center" wrapText="0"/>
    </xf>
    <xf borderId="0" fillId="31" fontId="6" numFmtId="0" xfId="0" applyAlignment="1" applyFill="1" applyFont="1">
      <alignment shrinkToFit="0" vertical="center" wrapText="0"/>
    </xf>
    <xf borderId="0" fillId="31" fontId="6" numFmtId="9" xfId="0" applyAlignment="1" applyFont="1" applyNumberFormat="1">
      <alignment horizontal="center" shrinkToFit="0" vertical="center" wrapText="0"/>
    </xf>
    <xf borderId="0" fillId="31" fontId="6" numFmtId="164" xfId="0" applyAlignment="1" applyFont="1" applyNumberForma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169" xfId="0" applyAlignment="1" applyFont="1" applyNumberFormat="1">
      <alignment shrinkToFit="0" vertical="center" wrapText="0"/>
    </xf>
    <xf borderId="0" fillId="0" fontId="6" numFmtId="2" xfId="0" applyAlignment="1" applyFont="1" applyNumberFormat="1">
      <alignment shrinkToFit="0" vertical="center" wrapText="0"/>
    </xf>
    <xf borderId="0" fillId="0" fontId="6" numFmtId="0" xfId="0" applyAlignment="1" applyFont="1">
      <alignment readingOrder="0" shrinkToFit="0" vertical="center" wrapText="0"/>
    </xf>
    <xf borderId="0" fillId="0" fontId="6" numFmtId="9" xfId="0" applyAlignment="1" applyFont="1" applyNumberFormat="1">
      <alignment horizontal="center" shrinkToFit="0" vertical="center" wrapText="0"/>
    </xf>
    <xf borderId="0" fillId="0" fontId="6" numFmtId="164" xfId="0" applyAlignment="1" applyFont="1" applyNumberFormat="1">
      <alignment horizontal="center" shrinkToFit="0" vertical="center" wrapText="0"/>
    </xf>
    <xf borderId="0" fillId="0" fontId="2" numFmtId="9" xfId="0" applyAlignment="1" applyFont="1" applyNumberFormat="1">
      <alignment horizontal="right" vertical="bottom"/>
    </xf>
    <xf borderId="0" fillId="0" fontId="6" numFmtId="9" xfId="0" applyAlignment="1" applyFont="1" applyNumberFormat="1">
      <alignment horizontal="center" readingOrder="0" shrinkToFit="0" vertical="center" wrapText="0"/>
    </xf>
    <xf borderId="0" fillId="32" fontId="6" numFmtId="0" xfId="0" applyAlignment="1" applyFill="1" applyFont="1">
      <alignment shrinkToFit="0" vertical="center" wrapText="0"/>
    </xf>
    <xf borderId="0" fillId="32" fontId="6" numFmtId="9" xfId="0" applyAlignment="1" applyFont="1" applyNumberFormat="1">
      <alignment horizontal="center" shrinkToFit="0" vertical="center" wrapText="0"/>
    </xf>
    <xf borderId="0" fillId="32" fontId="6" numFmtId="164" xfId="0" applyAlignment="1" applyFont="1" applyNumberFormat="1">
      <alignment horizontal="center" shrinkToFit="0" vertical="center" wrapText="0"/>
    </xf>
    <xf borderId="0" fillId="0" fontId="6" numFmtId="169" xfId="0" applyAlignment="1" applyFont="1" applyNumberFormat="1">
      <alignment readingOrder="0" shrinkToFit="0" vertical="center" wrapText="0"/>
    </xf>
    <xf borderId="0" fillId="33" fontId="6" numFmtId="0" xfId="0" applyAlignment="1" applyFill="1" applyFont="1">
      <alignment shrinkToFit="0" vertical="center" wrapText="0"/>
    </xf>
    <xf borderId="0" fillId="33" fontId="6" numFmtId="9" xfId="0" applyAlignment="1" applyFont="1" applyNumberFormat="1">
      <alignment horizontal="center" readingOrder="0" shrinkToFit="0" vertical="center" wrapText="0"/>
    </xf>
    <xf borderId="0" fillId="33" fontId="6" numFmtId="164" xfId="0" applyAlignment="1" applyFont="1" applyNumberFormat="1">
      <alignment horizontal="center" shrinkToFit="0" vertical="center" wrapText="0"/>
    </xf>
    <xf borderId="0" fillId="0" fontId="12" numFmtId="0" xfId="0" applyAlignment="1" applyFont="1">
      <alignment horizontal="right" readingOrder="0" shrinkToFit="0" vertical="center" wrapText="0"/>
    </xf>
    <xf borderId="0" fillId="0" fontId="12" numFmtId="169" xfId="0" applyAlignment="1" applyFont="1" applyNumberFormat="1">
      <alignment shrinkToFit="0" vertical="center" wrapText="0"/>
    </xf>
    <xf borderId="0" fillId="0" fontId="6" numFmtId="9" xfId="0" applyAlignment="1" applyFont="1" applyNumberFormat="1">
      <alignment shrinkToFit="0" vertical="center" wrapText="0"/>
    </xf>
    <xf borderId="0" fillId="0" fontId="6" numFmtId="164" xfId="0" applyAlignment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Portafoglio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2400">
                <a:solidFill>
                  <a:srgbClr val="757575"/>
                </a:solidFill>
                <a:latin typeface="Verdana"/>
              </a:defRPr>
            </a:pPr>
            <a:r>
              <a:rPr b="1" sz="2400">
                <a:solidFill>
                  <a:srgbClr val="757575"/>
                </a:solidFill>
                <a:latin typeface="Verdana"/>
              </a:rPr>
              <a:t>Total Portfolio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'Goal Based (New)'!$G$2:$H$2</c:f>
            </c:strRef>
          </c:tx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'Goal Based (New)'!$G$8:$H$8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 sz="2000">
              <a:solidFill>
                <a:srgbClr val="1A1A1A"/>
              </a:solidFill>
              <a:latin typeface="Verdana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2400">
                <a:solidFill>
                  <a:srgbClr val="757575"/>
                </a:solidFill>
                <a:latin typeface="+mn-lt"/>
              </a:defRPr>
            </a:pPr>
            <a:r>
              <a:rPr b="1" sz="2400">
                <a:solidFill>
                  <a:srgbClr val="757575"/>
                </a:solidFill>
                <a:latin typeface="+mn-lt"/>
              </a:rPr>
              <a:t>ESPOSIZIONE GEOGRAFICA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Portafoglio!$J$4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Portafoglio!$I$5:$I$7</c:f>
            </c:strRef>
          </c:cat>
          <c:val>
            <c:numRef>
              <c:f>Portafoglio!$J$5:$J$7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sz="2000">
              <a:solidFill>
                <a:srgbClr val="1A1A1A"/>
              </a:solidFill>
              <a:latin typeface="Verdana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1285875</xdr:colOff>
      <xdr:row>9</xdr:row>
      <xdr:rowOff>28575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247650</xdr:colOff>
      <xdr:row>2</xdr:row>
      <xdr:rowOff>28575</xdr:rowOff>
    </xdr:from>
    <xdr:ext cx="5076825" cy="31337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A3:G19" displayName="Table1" name="Table1" id="1">
  <tableColumns count="7">
    <tableColumn name="Asset class" id="1"/>
    <tableColumn name="% Allocation" id="2"/>
    <tableColumn name="Importo PAC" id="3"/>
    <tableColumn name="Strumento" id="4"/>
    <tableColumn name="ISIN" id="5"/>
    <tableColumn name="Prezzo" id="6"/>
    <tableColumn name="Quote" id="7"/>
  </tableColumns>
  <tableStyleInfo name="Portafogli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47.13"/>
    <col customWidth="1" min="4" max="4" width="27.25"/>
    <col customWidth="1" min="8" max="8" width="21.5"/>
    <col customWidth="1" min="11" max="11" width="14.75"/>
    <col customWidth="1" min="12" max="12" width="15.2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 t="s">
        <v>1</v>
      </c>
      <c r="C2" s="4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4</v>
      </c>
      <c r="B3" s="6" t="s">
        <v>5</v>
      </c>
      <c r="C3" s="7">
        <v>30000.0</v>
      </c>
      <c r="D3" s="8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7">
        <v>25000.0</v>
      </c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9</v>
      </c>
      <c r="B5" s="6" t="s">
        <v>10</v>
      </c>
      <c r="C5" s="10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11</v>
      </c>
      <c r="B6" s="6" t="s">
        <v>12</v>
      </c>
      <c r="C6" s="10"/>
      <c r="D6" s="1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12" t="s">
        <v>13</v>
      </c>
      <c r="C9" s="13">
        <f>SUM(C2:C6)/12</f>
        <v>4583.333333</v>
      </c>
      <c r="D9" s="14" t="s">
        <v>14</v>
      </c>
      <c r="E9" s="15">
        <f>35995/12</f>
        <v>2999.583333</v>
      </c>
      <c r="F9" s="2"/>
      <c r="G9" s="16" t="s">
        <v>15</v>
      </c>
      <c r="H9" s="17"/>
      <c r="I9" s="18">
        <v>0.035</v>
      </c>
      <c r="J9" s="17"/>
      <c r="K9" s="19" t="s">
        <v>16</v>
      </c>
      <c r="L9" s="2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1" t="s">
        <v>17</v>
      </c>
      <c r="C10" s="22"/>
      <c r="D10" s="14" t="s">
        <v>18</v>
      </c>
      <c r="E10" s="15">
        <f>28865/12</f>
        <v>2405.416667</v>
      </c>
      <c r="F10" s="2"/>
      <c r="G10" s="23" t="s">
        <v>19</v>
      </c>
      <c r="H10" s="2"/>
      <c r="I10" s="24">
        <v>25.0</v>
      </c>
      <c r="J10" s="2"/>
      <c r="K10" s="25" t="s">
        <v>20</v>
      </c>
      <c r="L10" s="26" t="s">
        <v>21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7" t="s">
        <v>22</v>
      </c>
      <c r="C11" s="28">
        <v>750.0</v>
      </c>
      <c r="D11" s="2"/>
      <c r="E11" s="2"/>
      <c r="F11" s="2"/>
      <c r="G11" s="23" t="s">
        <v>23</v>
      </c>
      <c r="H11" s="2"/>
      <c r="I11" s="29">
        <v>0.45</v>
      </c>
      <c r="J11" s="2"/>
      <c r="K11" s="30">
        <v>0.0</v>
      </c>
      <c r="L11" s="31">
        <f t="shared" ref="L11:L21" si="1">60%*(1.3-0.6*K11)</f>
        <v>0.78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7" t="s">
        <v>24</v>
      </c>
      <c r="C12" s="28">
        <v>400.0</v>
      </c>
      <c r="D12" s="2"/>
      <c r="E12" s="2"/>
      <c r="F12" s="2"/>
      <c r="G12" s="23" t="s">
        <v>25</v>
      </c>
      <c r="H12" s="2"/>
      <c r="I12" s="32">
        <f>0.03+I11*0.04</f>
        <v>0.048</v>
      </c>
      <c r="J12" s="2"/>
      <c r="K12" s="33">
        <f t="shared" ref="K12:K21" si="2">K11+10%</f>
        <v>0.1</v>
      </c>
      <c r="L12" s="34">
        <f t="shared" si="1"/>
        <v>0.744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7" t="s">
        <v>26</v>
      </c>
      <c r="C13" s="28">
        <v>800.0</v>
      </c>
      <c r="D13" s="2"/>
      <c r="E13" s="2"/>
      <c r="F13" s="2"/>
      <c r="G13" s="23" t="s">
        <v>27</v>
      </c>
      <c r="H13" s="2"/>
      <c r="I13" s="35">
        <f>1.3-0.6*I11</f>
        <v>1.03</v>
      </c>
      <c r="J13" s="2"/>
      <c r="K13" s="36">
        <f t="shared" si="2"/>
        <v>0.2</v>
      </c>
      <c r="L13" s="37">
        <f t="shared" si="1"/>
        <v>0.708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7" t="s">
        <v>28</v>
      </c>
      <c r="C14" s="28">
        <v>500.0</v>
      </c>
      <c r="D14" s="2"/>
      <c r="E14" s="2"/>
      <c r="F14" s="2"/>
      <c r="G14" s="38"/>
      <c r="J14" s="2"/>
      <c r="K14" s="39">
        <f t="shared" si="2"/>
        <v>0.3</v>
      </c>
      <c r="L14" s="40">
        <f t="shared" si="1"/>
        <v>0.672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7" t="s">
        <v>29</v>
      </c>
      <c r="C15" s="28">
        <v>200.0</v>
      </c>
      <c r="D15" s="2"/>
      <c r="E15" s="2"/>
      <c r="F15" s="2"/>
      <c r="G15" s="23" t="s">
        <v>30</v>
      </c>
      <c r="H15" s="2"/>
      <c r="I15" s="41">
        <f>((C18*12)/(I12-I9))*(1-((1+I9)/(1+I12))^25)</f>
        <v>124378.904</v>
      </c>
      <c r="J15" s="2"/>
      <c r="K15" s="42">
        <f t="shared" si="2"/>
        <v>0.4</v>
      </c>
      <c r="L15" s="43">
        <f t="shared" si="1"/>
        <v>0.636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44" t="s">
        <v>31</v>
      </c>
      <c r="C16" s="45">
        <f>SUM(C11:C15)</f>
        <v>2650</v>
      </c>
      <c r="D16" s="2"/>
      <c r="E16" s="2"/>
      <c r="F16" s="2"/>
      <c r="G16" s="23" t="s">
        <v>32</v>
      </c>
      <c r="H16" s="46"/>
      <c r="I16" s="41">
        <f>I15*I11</f>
        <v>55970.50679</v>
      </c>
      <c r="J16" s="2"/>
      <c r="K16" s="47">
        <f t="shared" si="2"/>
        <v>0.5</v>
      </c>
      <c r="L16" s="48">
        <f t="shared" si="1"/>
        <v>0.6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12" t="s">
        <v>33</v>
      </c>
      <c r="C17" s="13">
        <f>C9-C16</f>
        <v>1933.333333</v>
      </c>
      <c r="D17" s="49" t="s">
        <v>34</v>
      </c>
      <c r="E17" s="50">
        <v>0.26</v>
      </c>
      <c r="F17" s="2"/>
      <c r="G17" s="23" t="s">
        <v>35</v>
      </c>
      <c r="H17" s="2"/>
      <c r="I17" s="41">
        <f>C32</f>
        <v>50000</v>
      </c>
      <c r="J17" s="2"/>
      <c r="K17" s="51">
        <f t="shared" si="2"/>
        <v>0.6</v>
      </c>
      <c r="L17" s="52">
        <f t="shared" si="1"/>
        <v>0.564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53" t="s">
        <v>36</v>
      </c>
      <c r="C18" s="54">
        <f>C17*E17</f>
        <v>502.6666667</v>
      </c>
      <c r="D18" s="55" t="s">
        <v>37</v>
      </c>
      <c r="E18" s="56">
        <f>C18/C9</f>
        <v>0.1096727273</v>
      </c>
      <c r="F18" s="2"/>
      <c r="G18" s="23" t="s">
        <v>38</v>
      </c>
      <c r="H18" s="2"/>
      <c r="I18" s="41">
        <f>I15+I17</f>
        <v>174378.904</v>
      </c>
      <c r="J18" s="2"/>
      <c r="K18" s="57">
        <f t="shared" si="2"/>
        <v>0.7</v>
      </c>
      <c r="L18" s="58">
        <f t="shared" si="1"/>
        <v>0.528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59" t="s">
        <v>39</v>
      </c>
      <c r="C19" s="60"/>
      <c r="D19" s="2"/>
      <c r="E19" s="2"/>
      <c r="F19" s="2"/>
      <c r="G19" s="61"/>
      <c r="H19" s="2"/>
      <c r="I19" s="2"/>
      <c r="J19" s="2"/>
      <c r="K19" s="62">
        <f t="shared" si="2"/>
        <v>0.8</v>
      </c>
      <c r="L19" s="63">
        <f t="shared" si="1"/>
        <v>0.492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7" t="s">
        <v>40</v>
      </c>
      <c r="C20" s="28">
        <f t="shared" ref="C20:C25" si="3">($C$17-$C$18)*D20</f>
        <v>214.6</v>
      </c>
      <c r="D20" s="64">
        <v>0.15</v>
      </c>
      <c r="E20" s="65"/>
      <c r="F20" s="2"/>
      <c r="G20" s="61"/>
      <c r="H20" s="2"/>
      <c r="I20" s="2"/>
      <c r="J20" s="2"/>
      <c r="K20" s="66">
        <f t="shared" si="2"/>
        <v>0.9</v>
      </c>
      <c r="L20" s="67">
        <f t="shared" si="1"/>
        <v>0.456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7" t="s">
        <v>41</v>
      </c>
      <c r="C21" s="28">
        <f t="shared" si="3"/>
        <v>257.52</v>
      </c>
      <c r="D21" s="64">
        <v>0.18</v>
      </c>
      <c r="E21" s="65"/>
      <c r="F21" s="2"/>
      <c r="G21" s="68"/>
      <c r="H21" s="69"/>
      <c r="I21" s="69"/>
      <c r="J21" s="69"/>
      <c r="K21" s="70">
        <f t="shared" si="2"/>
        <v>1</v>
      </c>
      <c r="L21" s="71">
        <f t="shared" si="1"/>
        <v>0.42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7" t="s">
        <v>42</v>
      </c>
      <c r="C22" s="28">
        <f t="shared" si="3"/>
        <v>286.1333333</v>
      </c>
      <c r="D22" s="64">
        <v>0.2</v>
      </c>
      <c r="E22" s="72"/>
      <c r="F22" s="2"/>
      <c r="G22" s="2"/>
      <c r="H22" s="7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7" t="s">
        <v>43</v>
      </c>
      <c r="C23" s="28">
        <f t="shared" si="3"/>
        <v>185.9866667</v>
      </c>
      <c r="D23" s="64">
        <v>0.13</v>
      </c>
      <c r="E23" s="65"/>
      <c r="F23" s="2"/>
      <c r="G23" s="2"/>
      <c r="H23" s="2"/>
      <c r="I23" s="2"/>
      <c r="J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7" t="s">
        <v>44</v>
      </c>
      <c r="C24" s="28">
        <f t="shared" si="3"/>
        <v>157.3733333</v>
      </c>
      <c r="D24" s="64">
        <v>0.11</v>
      </c>
      <c r="E24" s="65"/>
      <c r="F24" s="2"/>
      <c r="G24" s="2"/>
      <c r="H24" s="2"/>
      <c r="I24" s="2"/>
      <c r="J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7" t="s">
        <v>45</v>
      </c>
      <c r="C25" s="28">
        <f t="shared" si="3"/>
        <v>329.0533333</v>
      </c>
      <c r="D25" s="64">
        <f>1-SUM(D20:D24)</f>
        <v>0.23</v>
      </c>
      <c r="E25" s="65"/>
      <c r="F25" s="2"/>
      <c r="G25" s="2"/>
      <c r="H25" s="2"/>
      <c r="I25" s="2"/>
      <c r="J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74" t="s">
        <v>46</v>
      </c>
      <c r="C26" s="75">
        <f>SUM(C20:C25)</f>
        <v>1430.666667</v>
      </c>
      <c r="D26" s="2"/>
      <c r="E26" s="2"/>
      <c r="F26" s="2"/>
      <c r="G26" s="2"/>
      <c r="H26" s="2"/>
      <c r="I26" s="2"/>
      <c r="J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76" t="s">
        <v>47</v>
      </c>
      <c r="C27" s="77">
        <f>C9-C16-C18-C26</f>
        <v>0</v>
      </c>
      <c r="D27" s="2"/>
      <c r="E27" s="2"/>
      <c r="F27" s="2"/>
      <c r="G27" s="2"/>
      <c r="H27" s="2"/>
      <c r="I27" s="2"/>
      <c r="J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78" t="s">
        <v>48</v>
      </c>
      <c r="C30" s="79">
        <v>65900.0</v>
      </c>
      <c r="D30" s="2"/>
      <c r="E30" s="2"/>
      <c r="F30" s="2"/>
      <c r="G30" s="2"/>
      <c r="H30" s="2"/>
      <c r="I30" s="2"/>
      <c r="J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78" t="s">
        <v>49</v>
      </c>
      <c r="C31" s="80">
        <f>C16*E31</f>
        <v>15900</v>
      </c>
      <c r="D31" s="49" t="s">
        <v>50</v>
      </c>
      <c r="E31" s="81">
        <v>6.0</v>
      </c>
      <c r="F31" s="2"/>
      <c r="G31" s="2"/>
      <c r="H31" s="2"/>
      <c r="I31" s="2"/>
      <c r="J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78" t="s">
        <v>35</v>
      </c>
      <c r="C32" s="80">
        <f>C30-C31</f>
        <v>50000</v>
      </c>
      <c r="D32" s="2"/>
      <c r="E32" s="2"/>
      <c r="F32" s="2"/>
      <c r="G32" s="2"/>
      <c r="H32" s="2"/>
      <c r="I32" s="2"/>
      <c r="J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78" t="s">
        <v>51</v>
      </c>
      <c r="C34" s="79">
        <v>276000.0</v>
      </c>
      <c r="D34" s="2"/>
      <c r="E34" s="2"/>
      <c r="F34" s="2"/>
      <c r="G34" s="2"/>
      <c r="H34" s="2"/>
      <c r="I34" s="2"/>
      <c r="J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78" t="s">
        <v>52</v>
      </c>
      <c r="C35" s="79">
        <v>186000.0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82" t="s">
        <v>53</v>
      </c>
      <c r="C36" s="83">
        <f>C34*(1+0.02)^5</f>
        <v>304726.3017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82" t="s">
        <v>54</v>
      </c>
      <c r="C37" s="83">
        <f>C35-(C11*60*0.6)</f>
        <v>159000</v>
      </c>
      <c r="D37" s="2"/>
      <c r="E37" s="6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8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8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84" t="s">
        <v>55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85"/>
      <c r="C41" s="8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7" t="s">
        <v>56</v>
      </c>
      <c r="B42" s="88" t="s">
        <v>57</v>
      </c>
      <c r="C42" s="89">
        <f>SUM(C43:C47)</f>
        <v>34273.69832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46" t="s">
        <v>58</v>
      </c>
      <c r="C43" s="41">
        <f>C37-C36</f>
        <v>-145726.3017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46" t="s">
        <v>59</v>
      </c>
      <c r="C44" s="90">
        <v>90000.0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46" t="s">
        <v>60</v>
      </c>
      <c r="C45" s="28">
        <v>30000.0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46" t="s">
        <v>61</v>
      </c>
      <c r="C46" s="90">
        <v>50000.0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46" t="s">
        <v>62</v>
      </c>
      <c r="C47" s="28">
        <v>10000.0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7" t="s">
        <v>63</v>
      </c>
      <c r="B49" s="1" t="s">
        <v>64</v>
      </c>
      <c r="C49" s="91">
        <v>15000.0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8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7" t="s">
        <v>65</v>
      </c>
      <c r="B51" s="88" t="s">
        <v>66</v>
      </c>
      <c r="C51" s="91">
        <v>15000.0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7" t="s">
        <v>67</v>
      </c>
      <c r="B53" s="88" t="s">
        <v>68</v>
      </c>
      <c r="C53" s="91">
        <v>300000.0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3">
    <mergeCell ref="A1:D1"/>
    <mergeCell ref="D3:D5"/>
    <mergeCell ref="K9:L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9.25"/>
    <col customWidth="1" min="4" max="4" width="17.38"/>
    <col customWidth="1" min="5" max="5" width="13.25"/>
    <col customWidth="1" min="6" max="6" width="15.5"/>
    <col customWidth="1" min="9" max="9" width="13.63"/>
    <col customWidth="1" min="10" max="10" width="16.13"/>
    <col customWidth="1" min="11" max="11" width="19.75"/>
    <col customWidth="1" min="14" max="14" width="17.25"/>
    <col customWidth="1" min="15" max="15" width="16.5"/>
  </cols>
  <sheetData>
    <row r="1">
      <c r="A1" s="88" t="s">
        <v>69</v>
      </c>
      <c r="B1" s="88" t="s">
        <v>70</v>
      </c>
      <c r="C1" s="88" t="s">
        <v>71</v>
      </c>
      <c r="D1" s="92" t="s">
        <v>72</v>
      </c>
      <c r="E1" s="92" t="s">
        <v>73</v>
      </c>
      <c r="F1" s="93" t="s">
        <v>74</v>
      </c>
      <c r="G1" s="92" t="s">
        <v>75</v>
      </c>
      <c r="H1" s="94"/>
      <c r="I1" s="92" t="s">
        <v>76</v>
      </c>
      <c r="J1" s="92" t="s">
        <v>77</v>
      </c>
      <c r="K1" s="92" t="s">
        <v>78</v>
      </c>
      <c r="L1" s="92" t="s">
        <v>79</v>
      </c>
      <c r="M1" s="92" t="s">
        <v>80</v>
      </c>
      <c r="N1" s="92" t="s">
        <v>81</v>
      </c>
      <c r="O1" s="88" t="s">
        <v>82</v>
      </c>
      <c r="P1" s="88" t="s">
        <v>83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"/>
      <c r="B2" s="2"/>
      <c r="C2" s="2"/>
      <c r="D2" s="95"/>
      <c r="E2" s="2"/>
      <c r="F2" s="2"/>
      <c r="G2" s="96" t="s">
        <v>84</v>
      </c>
      <c r="H2" s="96" t="s">
        <v>85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97" t="s">
        <v>57</v>
      </c>
      <c r="B3" s="98">
        <v>6.0</v>
      </c>
      <c r="C3" s="99">
        <v>0.35</v>
      </c>
      <c r="D3" s="100">
        <f t="shared" ref="D3:D7" si="1">$D$8*C3</f>
        <v>17500</v>
      </c>
      <c r="E3" s="101">
        <f t="shared" ref="E3:E8" si="2">IF($B$18="GEOM", G3*$B$12 + H3*$B$13 + 0.5*(G3*$B$14^2 + H3*$B$15^2 - I3^2), G3*$B$12 + H3*$B$13 - 0.5*I3^2)</f>
        <v>0.04581</v>
      </c>
      <c r="F3" s="100">
        <f t="shared" ref="F3:F8" si="3">FV(E3/12,B3*12,-$B$11*C3,-D3,0)</f>
        <v>37571.41283</v>
      </c>
      <c r="G3" s="99">
        <v>0.3</v>
      </c>
      <c r="H3" s="102">
        <f t="shared" ref="H3:H8" si="4">1-G3</f>
        <v>0.7</v>
      </c>
      <c r="I3" s="101">
        <f t="shared" ref="I3:I8" si="5">SQRT(G3^2*$B$14^2 + H3^2*$B$15^2 + 2*G3*H3*$B$14*$B$15*$B$17)</f>
        <v>0.06228964601</v>
      </c>
      <c r="J3" s="103">
        <v>0.02</v>
      </c>
      <c r="K3" s="100">
        <f t="shared" ref="K3:K8" si="6">FV(J3/12,B3*12,-$B$11*C3,-D3,0)</f>
        <v>33175.90367</v>
      </c>
      <c r="L3" s="104">
        <f t="shared" ref="L3:L8" si="7">K3/(1+$B$19)^B3</f>
        <v>28944.69376</v>
      </c>
      <c r="M3" s="105">
        <f t="shared" ref="M3:M8" si="8">(LN(1+E3)-LN(1+J3))/I3</f>
        <v>0.4011754616</v>
      </c>
      <c r="N3" s="101">
        <f t="shared" ref="N3:N8" si="9">_xlfn.NORM.S.DIST(M3*SQRT(B3))</f>
        <v>0.8371163345</v>
      </c>
      <c r="O3" s="106">
        <f t="shared" ref="O3:O8" si="10">I3*SQRT(B3)</f>
        <v>0.152577849</v>
      </c>
      <c r="P3" s="101">
        <f t="shared" ref="P3:P8" si="11">IF($B$18="GEOM", 0.5*(G3*$B$14^2 + H3*$B$15^2 - I3^2), 0)</f>
        <v>0.00231</v>
      </c>
      <c r="Q3" s="2"/>
      <c r="R3" s="2"/>
      <c r="S3" s="2"/>
      <c r="T3" s="107" t="s">
        <v>86</v>
      </c>
      <c r="U3" s="2"/>
      <c r="V3" s="2"/>
      <c r="W3" s="2"/>
      <c r="X3" s="2"/>
      <c r="Y3" s="2"/>
      <c r="Z3" s="2"/>
      <c r="AA3" s="2"/>
      <c r="AB3" s="2"/>
    </row>
    <row r="4">
      <c r="A4" s="97" t="s">
        <v>87</v>
      </c>
      <c r="B4" s="98">
        <v>13.0</v>
      </c>
      <c r="C4" s="99">
        <v>0.08</v>
      </c>
      <c r="D4" s="100">
        <f t="shared" si="1"/>
        <v>4000</v>
      </c>
      <c r="E4" s="101">
        <f t="shared" si="2"/>
        <v>0.05964</v>
      </c>
      <c r="F4" s="100">
        <f t="shared" si="3"/>
        <v>18111.91316</v>
      </c>
      <c r="G4" s="99">
        <v>0.6</v>
      </c>
      <c r="H4" s="102">
        <f t="shared" si="4"/>
        <v>0.4</v>
      </c>
      <c r="I4" s="101">
        <f t="shared" si="5"/>
        <v>0.09602083107</v>
      </c>
      <c r="J4" s="103">
        <v>0.03</v>
      </c>
      <c r="K4" s="100">
        <f t="shared" si="6"/>
        <v>13565.8838</v>
      </c>
      <c r="L4" s="104">
        <f t="shared" si="7"/>
        <v>10094.03612</v>
      </c>
      <c r="M4" s="105">
        <f t="shared" si="8"/>
        <v>0.295461154</v>
      </c>
      <c r="N4" s="101">
        <f t="shared" si="9"/>
        <v>0.8566299806</v>
      </c>
      <c r="O4" s="106">
        <f t="shared" si="10"/>
        <v>0.3462080299</v>
      </c>
      <c r="P4" s="101">
        <f t="shared" si="11"/>
        <v>0.00264</v>
      </c>
      <c r="Q4" s="2"/>
      <c r="R4" s="2"/>
      <c r="S4" s="2"/>
      <c r="T4" s="107" t="s">
        <v>88</v>
      </c>
      <c r="U4" s="2"/>
      <c r="V4" s="2"/>
      <c r="W4" s="2"/>
      <c r="X4" s="2"/>
      <c r="Y4" s="2"/>
      <c r="Z4" s="2"/>
      <c r="AA4" s="2"/>
      <c r="AB4" s="2"/>
    </row>
    <row r="5">
      <c r="A5" s="97" t="s">
        <v>89</v>
      </c>
      <c r="B5" s="98">
        <v>16.0</v>
      </c>
      <c r="C5" s="99">
        <v>0.07</v>
      </c>
      <c r="D5" s="100">
        <f t="shared" si="1"/>
        <v>3500</v>
      </c>
      <c r="E5" s="101">
        <f t="shared" si="2"/>
        <v>0.05964</v>
      </c>
      <c r="F5" s="100">
        <f t="shared" si="3"/>
        <v>20327.89388</v>
      </c>
      <c r="G5" s="108">
        <v>0.6</v>
      </c>
      <c r="H5" s="102">
        <f t="shared" si="4"/>
        <v>0.4</v>
      </c>
      <c r="I5" s="101">
        <f t="shared" si="5"/>
        <v>0.09602083107</v>
      </c>
      <c r="J5" s="103">
        <v>0.03</v>
      </c>
      <c r="K5" s="100">
        <f t="shared" si="6"/>
        <v>14310.29452</v>
      </c>
      <c r="L5" s="104">
        <f t="shared" si="7"/>
        <v>9945.77048</v>
      </c>
      <c r="M5" s="105">
        <f t="shared" si="8"/>
        <v>0.295461154</v>
      </c>
      <c r="N5" s="101">
        <f t="shared" si="9"/>
        <v>0.8813663195</v>
      </c>
      <c r="O5" s="106">
        <f t="shared" si="10"/>
        <v>0.3840833243</v>
      </c>
      <c r="P5" s="101">
        <f t="shared" si="11"/>
        <v>0.00264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97" t="s">
        <v>68</v>
      </c>
      <c r="B6" s="98">
        <v>25.0</v>
      </c>
      <c r="C6" s="109">
        <v>0.5</v>
      </c>
      <c r="D6" s="100">
        <f t="shared" si="1"/>
        <v>25000</v>
      </c>
      <c r="E6" s="101">
        <f t="shared" si="2"/>
        <v>0.0696525</v>
      </c>
      <c r="F6" s="100">
        <f t="shared" si="3"/>
        <v>344386.1876</v>
      </c>
      <c r="G6" s="99">
        <v>0.85</v>
      </c>
      <c r="H6" s="102">
        <f t="shared" si="4"/>
        <v>0.15</v>
      </c>
      <c r="I6" s="101">
        <f t="shared" si="5"/>
        <v>0.1292091328</v>
      </c>
      <c r="J6" s="110">
        <v>0.055</v>
      </c>
      <c r="K6" s="100">
        <f t="shared" si="6"/>
        <v>259932.1964</v>
      </c>
      <c r="L6" s="104">
        <f t="shared" si="7"/>
        <v>147220.8205</v>
      </c>
      <c r="M6" s="105">
        <f t="shared" si="8"/>
        <v>0.1067499034</v>
      </c>
      <c r="N6" s="101">
        <f t="shared" si="9"/>
        <v>0.7032425774</v>
      </c>
      <c r="O6" s="106">
        <f t="shared" si="10"/>
        <v>0.646045664</v>
      </c>
      <c r="P6" s="101">
        <f t="shared" si="11"/>
        <v>0.0014025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97" t="s">
        <v>45</v>
      </c>
      <c r="B7" s="98">
        <v>40.0</v>
      </c>
      <c r="C7" s="99">
        <v>0.0</v>
      </c>
      <c r="D7" s="100">
        <f t="shared" si="1"/>
        <v>0</v>
      </c>
      <c r="E7" s="101">
        <f t="shared" si="2"/>
        <v>0.075</v>
      </c>
      <c r="F7" s="100">
        <f t="shared" si="3"/>
        <v>0</v>
      </c>
      <c r="G7" s="99">
        <v>1.0</v>
      </c>
      <c r="H7" s="102">
        <f t="shared" si="4"/>
        <v>0</v>
      </c>
      <c r="I7" s="101">
        <f t="shared" si="5"/>
        <v>0.15</v>
      </c>
      <c r="J7" s="103">
        <f>E7*0.7</f>
        <v>0.0525</v>
      </c>
      <c r="K7" s="100">
        <f t="shared" si="6"/>
        <v>0</v>
      </c>
      <c r="L7" s="104">
        <f t="shared" si="7"/>
        <v>0</v>
      </c>
      <c r="M7" s="105">
        <f t="shared" si="8"/>
        <v>0.1410158334</v>
      </c>
      <c r="N7" s="101">
        <f t="shared" si="9"/>
        <v>0.8137666653</v>
      </c>
      <c r="O7" s="106">
        <f t="shared" si="10"/>
        <v>0.9486832981</v>
      </c>
      <c r="P7" s="101">
        <f t="shared" si="11"/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111" t="s">
        <v>90</v>
      </c>
      <c r="B8" s="112">
        <f>SUMPRODUCT(B3:B7,C3:C7)</f>
        <v>16.76</v>
      </c>
      <c r="C8" s="113">
        <f>SUM(C3:C7)</f>
        <v>1</v>
      </c>
      <c r="D8" s="114">
        <f>B10</f>
        <v>50000</v>
      </c>
      <c r="E8" s="115">
        <f t="shared" si="2"/>
        <v>0.0604916</v>
      </c>
      <c r="F8" s="116">
        <f t="shared" si="3"/>
        <v>311876.5693</v>
      </c>
      <c r="G8" s="117">
        <f>SUMPRODUCT(C3:C7,G3:G7)</f>
        <v>0.62</v>
      </c>
      <c r="H8" s="117">
        <f t="shared" si="4"/>
        <v>0.38</v>
      </c>
      <c r="I8" s="115">
        <f t="shared" si="5"/>
        <v>0.0985738302</v>
      </c>
      <c r="J8" s="115">
        <f>SUMPRODUCT(J3:J7,C3:C7)</f>
        <v>0.039</v>
      </c>
      <c r="K8" s="116">
        <f t="shared" si="6"/>
        <v>238393.5292</v>
      </c>
      <c r="L8" s="118">
        <f t="shared" si="7"/>
        <v>162846.6549</v>
      </c>
      <c r="M8" s="119">
        <f t="shared" si="8"/>
        <v>0.2077007867</v>
      </c>
      <c r="N8" s="115">
        <f t="shared" si="9"/>
        <v>0.8024224575</v>
      </c>
      <c r="O8" s="120">
        <f t="shared" si="10"/>
        <v>0.4035511963</v>
      </c>
      <c r="P8" s="101">
        <f t="shared" si="11"/>
        <v>0.0025916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2"/>
      <c r="D9" s="2"/>
      <c r="E9" s="2"/>
      <c r="F9" s="2"/>
      <c r="G9" s="121"/>
      <c r="H9" s="12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122" t="s">
        <v>91</v>
      </c>
      <c r="B10" s="123">
        <f>'Caso Studio'!C32</f>
        <v>50000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124" t="s">
        <v>92</v>
      </c>
      <c r="B11" s="125">
        <f>'Caso Studio'!C18</f>
        <v>502.6666667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124" t="s">
        <v>93</v>
      </c>
      <c r="B12" s="126">
        <v>0.075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124" t="s">
        <v>94</v>
      </c>
      <c r="B13" s="127">
        <v>0.03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124" t="s">
        <v>95</v>
      </c>
      <c r="B14" s="127">
        <v>0.15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128" t="s">
        <v>96</v>
      </c>
      <c r="B15" s="129">
        <v>0.05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6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46" t="s">
        <v>97</v>
      </c>
      <c r="B17" s="130">
        <v>0.2</v>
      </c>
      <c r="C17" s="2"/>
      <c r="D17" s="2"/>
      <c r="E17" s="2"/>
      <c r="F17" s="2"/>
      <c r="G17" s="2"/>
      <c r="H17" s="2"/>
      <c r="I17" s="2"/>
      <c r="J17" s="2"/>
      <c r="K17" s="13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46" t="s">
        <v>98</v>
      </c>
      <c r="B18" s="130" t="s">
        <v>86</v>
      </c>
      <c r="C18" s="2"/>
      <c r="D18" s="2"/>
      <c r="E18" s="2"/>
      <c r="F18" s="2"/>
      <c r="G18" s="2"/>
      <c r="H18" s="2"/>
      <c r="I18" s="2"/>
      <c r="J18" s="2"/>
      <c r="K18" s="13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46" t="s">
        <v>99</v>
      </c>
      <c r="B19" s="132">
        <v>0.023</v>
      </c>
      <c r="C19" s="2"/>
      <c r="D19" s="2"/>
      <c r="E19" s="2"/>
      <c r="F19" s="2"/>
      <c r="G19" s="2"/>
      <c r="H19" s="2"/>
      <c r="I19" s="2"/>
      <c r="J19" s="2"/>
      <c r="K19" s="13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133" t="s">
        <v>100</v>
      </c>
      <c r="E28" s="134"/>
      <c r="F28" s="134"/>
      <c r="G28" s="134"/>
      <c r="H28" s="135"/>
      <c r="I28" s="13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/>
      <c r="B29" s="2"/>
      <c r="C29" s="2"/>
      <c r="D29" s="137" t="s">
        <v>101</v>
      </c>
      <c r="E29" s="138"/>
      <c r="F29" s="138"/>
      <c r="G29" s="138"/>
      <c r="H29" s="139"/>
      <c r="I29" s="13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</sheetData>
  <mergeCells count="1">
    <mergeCell ref="G1:H1"/>
  </mergeCells>
  <dataValidations>
    <dataValidation type="list" allowBlank="1" showErrorMessage="1" sqref="B18">
      <formula1>#REF!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6.0"/>
    <col customWidth="1" min="2" max="2" width="13.5"/>
    <col customWidth="1" min="3" max="3" width="14.38"/>
    <col customWidth="1" min="4" max="4" width="59.63"/>
    <col customWidth="1" min="5" max="5" width="13.75"/>
  </cols>
  <sheetData>
    <row r="1">
      <c r="A1" s="140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22.5" customHeight="1">
      <c r="A3" s="141" t="s">
        <v>103</v>
      </c>
      <c r="B3" s="141" t="s">
        <v>104</v>
      </c>
      <c r="C3" s="141" t="s">
        <v>105</v>
      </c>
      <c r="D3" s="141" t="s">
        <v>106</v>
      </c>
      <c r="E3" s="142" t="s">
        <v>107</v>
      </c>
      <c r="F3" s="141" t="s">
        <v>108</v>
      </c>
      <c r="G3" s="141" t="s">
        <v>109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22.5" customHeight="1">
      <c r="A4" s="143" t="s">
        <v>110</v>
      </c>
      <c r="B4" s="144">
        <f>'Goal Based (New)'!G8-B14*'Goal Based (New)'!G8</f>
        <v>0.558</v>
      </c>
      <c r="C4" s="145">
        <f>B4*'Caso Studio'!$C$18</f>
        <v>280.488</v>
      </c>
      <c r="D4" s="146"/>
      <c r="E4" s="146"/>
      <c r="F4" s="147"/>
      <c r="G4" s="148"/>
      <c r="H4" s="2"/>
      <c r="I4" s="2" t="s">
        <v>111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22.5" customHeight="1">
      <c r="A5" s="149" t="s">
        <v>112</v>
      </c>
      <c r="B5" s="150">
        <f>45%*($B$4-$B$8)</f>
        <v>0.17577</v>
      </c>
      <c r="C5" s="151">
        <f>B5*'Caso Studio'!$C$18</f>
        <v>88.35372</v>
      </c>
      <c r="D5" s="146" t="s">
        <v>113</v>
      </c>
      <c r="E5" s="146" t="s">
        <v>114</v>
      </c>
      <c r="F5" s="147">
        <v>14.56</v>
      </c>
      <c r="G5" s="148">
        <f t="shared" ref="G5:G8" si="1">rounddown(C5/F5,0)</f>
        <v>6</v>
      </c>
      <c r="H5" s="2"/>
      <c r="I5" s="2" t="s">
        <v>115</v>
      </c>
      <c r="J5" s="152">
        <f>(B5+B8*0.64)/B4</f>
        <v>0.507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22.5" customHeight="1">
      <c r="A6" s="149" t="s">
        <v>116</v>
      </c>
      <c r="B6" s="153">
        <v>0.16</v>
      </c>
      <c r="C6" s="151">
        <f>B6*'Caso Studio'!$C$18</f>
        <v>80.42666667</v>
      </c>
      <c r="D6" s="146" t="s">
        <v>117</v>
      </c>
      <c r="E6" s="146" t="s">
        <v>118</v>
      </c>
      <c r="F6" s="147">
        <v>5.34</v>
      </c>
      <c r="G6" s="148">
        <f t="shared" si="1"/>
        <v>15</v>
      </c>
      <c r="H6" s="2"/>
      <c r="I6" s="2" t="s">
        <v>119</v>
      </c>
      <c r="J6" s="152">
        <f>(B6+B8*0.36)/B4</f>
        <v>0.3947383513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22.5" customHeight="1">
      <c r="A7" s="146" t="s">
        <v>120</v>
      </c>
      <c r="B7" s="153">
        <v>0.06</v>
      </c>
      <c r="C7" s="151">
        <f>B7*'Caso Studio'!$C$18</f>
        <v>30.16</v>
      </c>
      <c r="D7" s="146" t="s">
        <v>121</v>
      </c>
      <c r="E7" s="146" t="s">
        <v>122</v>
      </c>
      <c r="F7" s="147">
        <v>6.22</v>
      </c>
      <c r="G7" s="148">
        <f t="shared" si="1"/>
        <v>4</v>
      </c>
      <c r="H7" s="2"/>
      <c r="I7" s="2" t="s">
        <v>123</v>
      </c>
      <c r="J7" s="152">
        <f>B7/B4</f>
        <v>0.1075268817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22.5" customHeight="1">
      <c r="A8" s="146" t="s">
        <v>124</v>
      </c>
      <c r="B8" s="150">
        <f>30%*B4</f>
        <v>0.1674</v>
      </c>
      <c r="C8" s="151">
        <f>B8*'Caso Studio'!$C$18</f>
        <v>84.1464</v>
      </c>
      <c r="D8" s="146" t="s">
        <v>125</v>
      </c>
      <c r="E8" s="146" t="s">
        <v>126</v>
      </c>
      <c r="F8" s="147">
        <v>79.8</v>
      </c>
      <c r="G8" s="148">
        <f t="shared" si="1"/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22.5" customHeight="1">
      <c r="A9" s="146"/>
      <c r="B9" s="150"/>
      <c r="C9" s="151"/>
      <c r="D9" s="146"/>
      <c r="E9" s="146"/>
      <c r="F9" s="147"/>
      <c r="G9" s="14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22.5" customHeight="1">
      <c r="A10" s="154" t="s">
        <v>127</v>
      </c>
      <c r="B10" s="155">
        <f>'Goal Based (New)'!H8-B14*'Goal Based (New)'!H8</f>
        <v>0.342</v>
      </c>
      <c r="C10" s="156">
        <f>B10*'Caso Studio'!$C$18</f>
        <v>171.912</v>
      </c>
      <c r="D10" s="146"/>
      <c r="E10" s="146"/>
      <c r="F10" s="147"/>
      <c r="G10" s="14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22.5" customHeight="1">
      <c r="A11" s="149" t="s">
        <v>128</v>
      </c>
      <c r="B11" s="150">
        <f>B10*0.3</f>
        <v>0.1026</v>
      </c>
      <c r="C11" s="151">
        <f>B11*'Caso Studio'!$C$18</f>
        <v>51.5736</v>
      </c>
      <c r="D11" s="146" t="s">
        <v>129</v>
      </c>
      <c r="E11" s="149" t="s">
        <v>130</v>
      </c>
      <c r="F11" s="157">
        <v>168.08</v>
      </c>
      <c r="G11" s="148">
        <f t="shared" ref="G11:G12" si="2">rounddown(C11/F11,0)</f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22.5" customHeight="1">
      <c r="A12" s="146" t="s">
        <v>131</v>
      </c>
      <c r="B12" s="150">
        <f>B10*0.7</f>
        <v>0.2394</v>
      </c>
      <c r="C12" s="151">
        <f>B12*'Caso Studio'!$C$18</f>
        <v>120.3384</v>
      </c>
      <c r="D12" s="146" t="s">
        <v>132</v>
      </c>
      <c r="E12" s="146" t="s">
        <v>133</v>
      </c>
      <c r="F12" s="147">
        <v>4.95</v>
      </c>
      <c r="G12" s="148">
        <f t="shared" si="2"/>
        <v>24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22.5" customHeight="1">
      <c r="A13" s="146"/>
      <c r="B13" s="150"/>
      <c r="C13" s="151"/>
      <c r="D13" s="146"/>
      <c r="E13" s="146"/>
      <c r="F13" s="147"/>
      <c r="G13" s="14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22.5" customHeight="1">
      <c r="A14" s="158" t="s">
        <v>134</v>
      </c>
      <c r="B14" s="159">
        <v>0.1</v>
      </c>
      <c r="C14" s="160">
        <f>B14*'Caso Studio'!$C$18</f>
        <v>50.26666667</v>
      </c>
      <c r="D14" s="146"/>
      <c r="E14" s="146"/>
      <c r="F14" s="147"/>
      <c r="G14" s="14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22.5" customHeight="1">
      <c r="A15" s="146" t="s">
        <v>135</v>
      </c>
      <c r="B15" s="153">
        <v>0.05</v>
      </c>
      <c r="C15" s="151">
        <f>B15*'Caso Studio'!$C$18</f>
        <v>25.13333333</v>
      </c>
      <c r="D15" s="146" t="s">
        <v>136</v>
      </c>
      <c r="E15" s="146" t="s">
        <v>137</v>
      </c>
      <c r="F15" s="147">
        <v>67.44</v>
      </c>
      <c r="G15" s="148">
        <f t="shared" ref="G15:G16" si="3">rounddown(C15/F15,0)</f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22.5" customHeight="1">
      <c r="A16" s="146" t="s">
        <v>138</v>
      </c>
      <c r="B16" s="153">
        <v>0.05</v>
      </c>
      <c r="C16" s="151">
        <f>B16*'Caso Studio'!$C$18</f>
        <v>25.13333333</v>
      </c>
      <c r="D16" s="146" t="s">
        <v>139</v>
      </c>
      <c r="E16" s="149" t="s">
        <v>140</v>
      </c>
      <c r="F16" s="157">
        <v>7.26</v>
      </c>
      <c r="G16" s="148">
        <f t="shared" si="3"/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22.5" customHeight="1">
      <c r="A17" s="146"/>
      <c r="B17" s="150"/>
      <c r="C17" s="151"/>
      <c r="D17" s="146"/>
      <c r="E17" s="146"/>
      <c r="F17" s="147"/>
      <c r="G17" s="14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22.5" customHeight="1">
      <c r="B18" s="150"/>
      <c r="C18" s="151"/>
      <c r="D18" s="161" t="s">
        <v>141</v>
      </c>
      <c r="E18" s="146"/>
      <c r="F18" s="162">
        <f>SUMPRODUCT(F5:F16,G5:G16)</f>
        <v>412.72</v>
      </c>
      <c r="G18" s="14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22.5" customHeight="1">
      <c r="B19" s="163"/>
      <c r="C19" s="164"/>
      <c r="D19" s="161" t="s">
        <v>142</v>
      </c>
      <c r="E19" s="146"/>
      <c r="F19" s="162">
        <f>F18*3+F15+F11</f>
        <v>1473.68</v>
      </c>
      <c r="G19" s="14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dataValidations>
    <dataValidation type="custom" allowBlank="1" showDropDown="1" sqref="B4:C19 F4:G19">
      <formula1>AND(ISNUMBER(B4),(NOT(OR(NOT(ISERROR(DATEVALUE(B4))), AND(ISNUMBER(B4), LEFT(CELL("format", B4))="D")))))</formula1>
    </dataValidation>
  </dataValidations>
  <drawing r:id="rId1"/>
  <tableParts count="1">
    <tablePart r:id="rId3"/>
  </tableParts>
</worksheet>
</file>