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oal Based (New)" sheetId="1" r:id="rId4"/>
  </sheets>
  <definedNames/>
  <calcPr/>
</workbook>
</file>

<file path=xl/sharedStrings.xml><?xml version="1.0" encoding="utf-8"?>
<sst xmlns="http://schemas.openxmlformats.org/spreadsheetml/2006/main" count="37" uniqueCount="36">
  <si>
    <t>Goal</t>
  </si>
  <si>
    <t xml:space="preserve">Years </t>
  </si>
  <si>
    <t>Weight</t>
  </si>
  <si>
    <t>Investable Assets</t>
  </si>
  <si>
    <t>Return Target</t>
  </si>
  <si>
    <t>Terminal Wealth</t>
  </si>
  <si>
    <t>Expected Portfolio</t>
  </si>
  <si>
    <t>Volatility</t>
  </si>
  <si>
    <t>Min Exp Return</t>
  </si>
  <si>
    <t>Min Terminal Wealth</t>
  </si>
  <si>
    <t>Real MTW</t>
  </si>
  <si>
    <t>SFC</t>
  </si>
  <si>
    <t>Prob. of success</t>
  </si>
  <si>
    <t>Horizon Volatility</t>
  </si>
  <si>
    <t>Rebalancing bonus</t>
  </si>
  <si>
    <t>Stocks</t>
  </si>
  <si>
    <t>Bonds</t>
  </si>
  <si>
    <t>Short term goals</t>
  </si>
  <si>
    <t>GEOM</t>
  </si>
  <si>
    <t>Medium term goals</t>
  </si>
  <si>
    <t>ARITH</t>
  </si>
  <si>
    <t>Education</t>
  </si>
  <si>
    <t>Retirement</t>
  </si>
  <si>
    <t>Bequest</t>
  </si>
  <si>
    <t>Overall portfolio</t>
  </si>
  <si>
    <t>Initial Wealth</t>
  </si>
  <si>
    <t>Monthly Contribution</t>
  </si>
  <si>
    <t>Stocks Exp. Return</t>
  </si>
  <si>
    <t>Bonds Exp. Return</t>
  </si>
  <si>
    <t>Stocks Volatilty</t>
  </si>
  <si>
    <t>Bonds Volatilty</t>
  </si>
  <si>
    <t>Stocks–Bonds 
correlation</t>
  </si>
  <si>
    <t>Return inputs type
 (ARITH/GEOM)</t>
  </si>
  <si>
    <t>Inflation</t>
  </si>
  <si>
    <t xml:space="preserve">Disclaimer: questo file ha uno scopo puramente illustrativo ed esemplificativo e </t>
  </si>
  <si>
    <t>non deve  essere inteso come strumento di pianificazione finanziaria.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</si>
</sst>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0&quot;€&quot;"/>
    <numFmt numFmtId="165" formatCode="#,##0&quot;€&quot;"/>
    <numFmt numFmtId="166" formatCode="0.0%"/>
  </numFmts>
  <fonts count="9">
    <font>
      <sz val="10.0"/>
      <color rgb="FF000000"/>
      <name val="Arial"/>
      <scheme val="minor"/>
    </font>
    <font>
      <b/>
      <sz val="11.0"/>
      <color theme="1"/>
      <name val="Inter"/>
    </font>
    <font>
      <b/>
      <sz val="10.0"/>
      <color theme="1"/>
      <name val="Inter"/>
    </font>
    <font>
      <sz val="10.0"/>
      <color theme="1"/>
      <name val="Inter"/>
    </font>
    <font>
      <sz val="11.0"/>
      <color theme="1"/>
      <name val="Inter"/>
    </font>
    <font>
      <i/>
      <sz val="11.0"/>
      <color theme="1"/>
      <name val="Inter"/>
    </font>
    <font>
      <sz val="10.0"/>
      <color rgb="FF000000"/>
      <name val="Inter"/>
    </font>
    <font>
      <b/>
      <i/>
      <sz val="10.0"/>
      <color theme="1"/>
      <name val="Inter"/>
    </font>
    <font>
      <color theme="1"/>
      <name val="Inter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BBC04"/>
        <bgColor rgb="FFFBBC04"/>
      </patternFill>
    </fill>
  </fills>
  <borders count="16">
    <border/>
    <border>
      <left/>
      <right/>
      <top/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/>
      <right style="thin">
        <color rgb="FF000000"/>
      </right>
      <bottom/>
    </border>
    <border>
      <left/>
      <right style="thin">
        <color rgb="FF000000"/>
      </right>
      <top/>
      <bottom/>
    </border>
    <border>
      <left style="thin">
        <color rgb="FF000000"/>
      </lef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ck">
        <color rgb="FF000000"/>
      </left>
      <right/>
      <top style="thick">
        <color rgb="FF000000"/>
      </top>
      <bottom/>
    </border>
    <border>
      <left/>
      <right/>
      <top style="thick">
        <color rgb="FF000000"/>
      </top>
      <bottom/>
    </border>
    <border>
      <left/>
      <right style="thick">
        <color rgb="FF000000"/>
      </right>
      <top style="thick">
        <color rgb="FF000000"/>
      </top>
      <bottom/>
    </border>
    <border>
      <left style="thick">
        <color rgb="FF000000"/>
      </left>
      <right/>
      <top/>
      <bottom style="thick">
        <color rgb="FF000000"/>
      </bottom>
    </border>
    <border>
      <left/>
      <right/>
      <top/>
      <bottom style="thick">
        <color rgb="FF000000"/>
      </bottom>
    </border>
    <border>
      <left/>
      <right style="thick">
        <color rgb="FF000000"/>
      </right>
      <top/>
      <bottom style="thick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right"/>
    </xf>
    <xf borderId="0" fillId="0" fontId="2" numFmtId="0" xfId="0" applyFont="1"/>
    <xf borderId="0" fillId="0" fontId="3" numFmtId="0" xfId="0" applyFont="1"/>
    <xf borderId="0" fillId="0" fontId="3" numFmtId="164" xfId="0" applyFont="1" applyNumberFormat="1"/>
    <xf borderId="0" fillId="0" fontId="4" numFmtId="0" xfId="0" applyFont="1"/>
    <xf borderId="1" fillId="2" fontId="5" numFmtId="0" xfId="0" applyBorder="1" applyFill="1" applyFont="1"/>
    <xf borderId="1" fillId="2" fontId="4" numFmtId="0" xfId="0" applyAlignment="1" applyBorder="1" applyFont="1">
      <alignment horizontal="center"/>
    </xf>
    <xf borderId="1" fillId="2" fontId="4" numFmtId="9" xfId="0" applyAlignment="1" applyBorder="1" applyFont="1" applyNumberFormat="1">
      <alignment horizontal="center"/>
    </xf>
    <xf borderId="0" fillId="0" fontId="4" numFmtId="165" xfId="0" applyAlignment="1" applyFont="1" applyNumberFormat="1">
      <alignment horizontal="center"/>
    </xf>
    <xf borderId="0" fillId="0" fontId="4" numFmtId="10" xfId="0" applyAlignment="1" applyFont="1" applyNumberFormat="1">
      <alignment horizontal="center"/>
    </xf>
    <xf borderId="0" fillId="0" fontId="4" numFmtId="165" xfId="0" applyAlignment="1" applyFont="1" applyNumberFormat="1">
      <alignment horizontal="right"/>
    </xf>
    <xf borderId="0" fillId="0" fontId="4" numFmtId="9" xfId="0" applyAlignment="1" applyFont="1" applyNumberFormat="1">
      <alignment horizontal="center"/>
    </xf>
    <xf borderId="1" fillId="2" fontId="4" numFmtId="10" xfId="0" applyAlignment="1" applyBorder="1" applyFont="1" applyNumberFormat="1">
      <alignment horizontal="center"/>
    </xf>
    <xf borderId="0" fillId="0" fontId="4" numFmtId="3" xfId="0" applyAlignment="1" applyFont="1" applyNumberFormat="1">
      <alignment horizontal="right"/>
    </xf>
    <xf borderId="0" fillId="0" fontId="4" numFmtId="4" xfId="0" applyAlignment="1" applyFont="1" applyNumberFormat="1">
      <alignment horizontal="center"/>
    </xf>
    <xf borderId="0" fillId="0" fontId="4" numFmtId="10" xfId="0" applyFont="1" applyNumberFormat="1"/>
    <xf borderId="1" fillId="2" fontId="4" numFmtId="9" xfId="0" applyAlignment="1" applyBorder="1" applyFont="1" applyNumberFormat="1">
      <alignment horizontal="center" readingOrder="0"/>
    </xf>
    <xf borderId="1" fillId="2" fontId="3" numFmtId="9" xfId="0" applyAlignment="1" applyBorder="1" applyFont="1" applyNumberFormat="1">
      <alignment horizontal="center"/>
    </xf>
    <xf borderId="1" fillId="2" fontId="4" numFmtId="10" xfId="0" applyAlignment="1" applyBorder="1" applyFont="1" applyNumberFormat="1">
      <alignment horizontal="center" readingOrder="0"/>
    </xf>
    <xf borderId="0" fillId="0" fontId="1" numFmtId="9" xfId="0" applyAlignment="1" applyFont="1" applyNumberFormat="1">
      <alignment horizontal="center"/>
    </xf>
    <xf borderId="1" fillId="2" fontId="1" numFmtId="165" xfId="0" applyAlignment="1" applyBorder="1" applyFont="1" applyNumberFormat="1">
      <alignment horizontal="center"/>
    </xf>
    <xf borderId="0" fillId="0" fontId="1" numFmtId="10" xfId="0" applyAlignment="1" applyFont="1" applyNumberFormat="1">
      <alignment horizontal="center"/>
    </xf>
    <xf borderId="0" fillId="0" fontId="1" numFmtId="165" xfId="0" applyAlignment="1" applyFont="1" applyNumberFormat="1">
      <alignment horizontal="right"/>
    </xf>
    <xf borderId="0" fillId="0" fontId="1" numFmtId="166" xfId="0" applyAlignment="1" applyFont="1" applyNumberFormat="1">
      <alignment horizontal="center" vertical="bottom"/>
    </xf>
    <xf borderId="0" fillId="0" fontId="1" numFmtId="3" xfId="0" applyAlignment="1" applyFont="1" applyNumberFormat="1">
      <alignment horizontal="right"/>
    </xf>
    <xf borderId="0" fillId="0" fontId="1" numFmtId="4" xfId="0" applyAlignment="1" applyFont="1" applyNumberFormat="1">
      <alignment horizontal="center"/>
    </xf>
    <xf borderId="2" fillId="0" fontId="5" numFmtId="0" xfId="0" applyBorder="1" applyFont="1"/>
    <xf borderId="3" fillId="2" fontId="4" numFmtId="165" xfId="0" applyAlignment="1" applyBorder="1" applyFont="1" applyNumberFormat="1">
      <alignment horizontal="right"/>
    </xf>
    <xf borderId="4" fillId="0" fontId="5" numFmtId="0" xfId="0" applyBorder="1" applyFont="1"/>
    <xf borderId="5" fillId="2" fontId="4" numFmtId="165" xfId="0" applyAlignment="1" applyBorder="1" applyFont="1" applyNumberFormat="1">
      <alignment horizontal="right"/>
    </xf>
    <xf borderId="0" fillId="0" fontId="6" numFmtId="0" xfId="0" applyFont="1"/>
    <xf borderId="6" fillId="2" fontId="4" numFmtId="10" xfId="0" applyAlignment="1" applyBorder="1" applyFont="1" applyNumberFormat="1">
      <alignment horizontal="right"/>
    </xf>
    <xf borderId="7" fillId="2" fontId="4" numFmtId="10" xfId="0" applyAlignment="1" applyBorder="1" applyFont="1" applyNumberFormat="1">
      <alignment horizontal="right"/>
    </xf>
    <xf borderId="8" fillId="0" fontId="5" numFmtId="0" xfId="0" applyBorder="1" applyFont="1"/>
    <xf borderId="9" fillId="2" fontId="4" numFmtId="10" xfId="0" applyAlignment="1" applyBorder="1" applyFont="1" applyNumberFormat="1">
      <alignment horizontal="right"/>
    </xf>
    <xf borderId="0" fillId="0" fontId="4" numFmtId="0" xfId="0" applyAlignment="1" applyFont="1">
      <alignment readingOrder="0"/>
    </xf>
    <xf borderId="0" fillId="2" fontId="4" numFmtId="10" xfId="0" applyFont="1" applyNumberFormat="1"/>
    <xf borderId="10" fillId="3" fontId="7" numFmtId="0" xfId="0" applyBorder="1" applyFill="1" applyFont="1"/>
    <xf borderId="11" fillId="3" fontId="3" numFmtId="0" xfId="0" applyBorder="1" applyFont="1"/>
    <xf borderId="12" fillId="3" fontId="3" numFmtId="0" xfId="0" applyBorder="1" applyFont="1"/>
    <xf borderId="13" fillId="3" fontId="7" numFmtId="0" xfId="0" applyBorder="1" applyFont="1"/>
    <xf borderId="14" fillId="3" fontId="3" numFmtId="0" xfId="0" applyBorder="1" applyFont="1"/>
    <xf borderId="15" fillId="3" fontId="3" numFmtId="0" xfId="0" applyBorder="1" applyFont="1"/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/>
      <c:pie3D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'Goal Based (New)'!$G$2:$H$2</c:f>
            </c:strRef>
          </c:cat>
          <c:val>
            <c:numRef>
              <c:f>'Goal Based (New)'!$G$8:$H$8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752475</xdr:colOff>
      <xdr:row>11</xdr:row>
      <xdr:rowOff>19050</xdr:rowOff>
    </xdr:from>
    <xdr:ext cx="4505325" cy="278130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4" width="19.38"/>
    <col customWidth="1" hidden="1" min="15" max="15" width="19.38"/>
    <col customWidth="1" min="16" max="19" width="19.38"/>
    <col customWidth="1" hidden="1" min="20" max="20" width="19.38"/>
    <col customWidth="1" min="21" max="28" width="19.38"/>
  </cols>
  <sheetData>
    <row r="1" ht="15.75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4" t="s">
        <v>13</v>
      </c>
      <c r="P1" s="2" t="s">
        <v>14</v>
      </c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ht="15.75" customHeight="1">
      <c r="A2" s="5"/>
      <c r="B2" s="5"/>
      <c r="C2" s="5"/>
      <c r="D2" s="6"/>
      <c r="E2" s="5"/>
      <c r="F2" s="5"/>
      <c r="G2" s="2" t="s">
        <v>15</v>
      </c>
      <c r="H2" s="2" t="s">
        <v>16</v>
      </c>
      <c r="I2" s="5"/>
      <c r="J2" s="5"/>
      <c r="K2" s="5"/>
      <c r="L2" s="5"/>
      <c r="M2" s="5"/>
      <c r="N2" s="5"/>
      <c r="O2" s="5"/>
      <c r="P2" s="7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ht="15.75" customHeight="1">
      <c r="A3" s="8" t="s">
        <v>17</v>
      </c>
      <c r="B3" s="9">
        <v>5.0</v>
      </c>
      <c r="C3" s="10">
        <v>0.05</v>
      </c>
      <c r="D3" s="11">
        <f t="shared" ref="D3:D7" si="1">$D$8*C3</f>
        <v>5000</v>
      </c>
      <c r="E3" s="12">
        <f t="shared" ref="E3:E8" si="2">IF($B$17="GEOM", G3*$B$12 + H3*$B$13 + 0.5*(G3*$B$14^2 + H3*$B$15^2 - I3^2), G3*$B$12 + H3*$B$13 - 0.5*I3^2)</f>
        <v>0.03</v>
      </c>
      <c r="F3" s="13">
        <f t="shared" ref="F3:F8" si="3">FV(E3/12,B3*12,-$B$11*C3,-D3,0)</f>
        <v>9040.419539</v>
      </c>
      <c r="G3" s="10">
        <v>0.0</v>
      </c>
      <c r="H3" s="14">
        <f t="shared" ref="H3:H8" si="4">1-G3</f>
        <v>1</v>
      </c>
      <c r="I3" s="12">
        <f t="shared" ref="I3:I8" si="5">SQRT(G3^2*$B$14^2 + H3^2*$B$15^2 + 2*G3*H3*$B$14*$B$15*$B$16)</f>
        <v>0.05</v>
      </c>
      <c r="J3" s="15">
        <v>0.02</v>
      </c>
      <c r="K3" s="13">
        <f t="shared" ref="K3:K8" si="6">FV(J3/12,B3*12,-$B$11*C3,-D3,0)</f>
        <v>8677.762429</v>
      </c>
      <c r="L3" s="16">
        <f t="shared" ref="L3:L8" si="7">K3/(1+$B$18)^B3</f>
        <v>7669.877529</v>
      </c>
      <c r="M3" s="17">
        <f t="shared" ref="M3:M8" si="8">(LN(1+E3)-LN(1+J3))/I3</f>
        <v>0.1951234989</v>
      </c>
      <c r="N3" s="12">
        <f t="shared" ref="N3:N8" si="9">_xlfn.NORM.S.DIST(M3*SQRT(B3))</f>
        <v>0.6686938714</v>
      </c>
      <c r="O3" s="12">
        <f t="shared" ref="O3:O8" si="10">I3*SQRT(B3)</f>
        <v>0.1118033989</v>
      </c>
      <c r="P3" s="18">
        <f t="shared" ref="P3:P8" si="11">IF($B$17="GEOM", 0.5*(G3*$B$14^2 + H3*$B$15^2 - I3^2), 0)</f>
        <v>0</v>
      </c>
      <c r="Q3" s="5"/>
      <c r="R3" s="5"/>
      <c r="S3" s="5"/>
      <c r="T3" s="5" t="s">
        <v>18</v>
      </c>
      <c r="U3" s="5"/>
      <c r="V3" s="5"/>
      <c r="W3" s="5"/>
      <c r="X3" s="5"/>
      <c r="Y3" s="5"/>
      <c r="Z3" s="5"/>
      <c r="AA3" s="5"/>
      <c r="AB3" s="5"/>
    </row>
    <row r="4" ht="15.75" customHeight="1">
      <c r="A4" s="8" t="s">
        <v>19</v>
      </c>
      <c r="B4" s="9">
        <v>10.0</v>
      </c>
      <c r="C4" s="10">
        <v>0.1</v>
      </c>
      <c r="D4" s="11">
        <f t="shared" si="1"/>
        <v>10000</v>
      </c>
      <c r="E4" s="12">
        <f t="shared" si="2"/>
        <v>0.050988</v>
      </c>
      <c r="F4" s="13">
        <f t="shared" si="3"/>
        <v>32243.52209</v>
      </c>
      <c r="G4" s="10">
        <v>0.4</v>
      </c>
      <c r="H4" s="14">
        <f t="shared" si="4"/>
        <v>0.6</v>
      </c>
      <c r="I4" s="12">
        <f t="shared" si="5"/>
        <v>0.07592101158</v>
      </c>
      <c r="J4" s="15">
        <v>0.03</v>
      </c>
      <c r="K4" s="13">
        <f t="shared" si="6"/>
        <v>27467.67736</v>
      </c>
      <c r="L4" s="16">
        <f t="shared" si="7"/>
        <v>21457.70565</v>
      </c>
      <c r="M4" s="17">
        <f t="shared" si="8"/>
        <v>0.26569551</v>
      </c>
      <c r="N4" s="12">
        <f t="shared" si="9"/>
        <v>0.7996027048</v>
      </c>
      <c r="O4" s="12">
        <f t="shared" si="10"/>
        <v>0.2400833189</v>
      </c>
      <c r="P4" s="18">
        <f t="shared" si="11"/>
        <v>0.002988</v>
      </c>
      <c r="Q4" s="5"/>
      <c r="R4" s="5"/>
      <c r="S4" s="5"/>
      <c r="T4" s="5" t="s">
        <v>20</v>
      </c>
      <c r="U4" s="5"/>
      <c r="V4" s="5"/>
      <c r="W4" s="5"/>
      <c r="X4" s="5"/>
      <c r="Y4" s="5"/>
      <c r="Z4" s="5"/>
      <c r="AA4" s="5"/>
      <c r="AB4" s="5"/>
    </row>
    <row r="5" ht="15.75" customHeight="1">
      <c r="A5" s="8" t="s">
        <v>21</v>
      </c>
      <c r="B5" s="9">
        <v>15.0</v>
      </c>
      <c r="C5" s="10">
        <v>0.1</v>
      </c>
      <c r="D5" s="11">
        <f t="shared" si="1"/>
        <v>10000</v>
      </c>
      <c r="E5" s="12">
        <f t="shared" si="2"/>
        <v>0.059988</v>
      </c>
      <c r="F5" s="13">
        <f t="shared" si="3"/>
        <v>53615.43765</v>
      </c>
      <c r="G5" s="19">
        <v>0.6</v>
      </c>
      <c r="H5" s="14">
        <f t="shared" si="4"/>
        <v>0.4</v>
      </c>
      <c r="I5" s="12">
        <f t="shared" si="5"/>
        <v>0.1019019136</v>
      </c>
      <c r="J5" s="15">
        <v>0.025</v>
      </c>
      <c r="K5" s="13">
        <f t="shared" si="6"/>
        <v>36356.58953</v>
      </c>
      <c r="L5" s="16">
        <f t="shared" si="7"/>
        <v>25102.97284</v>
      </c>
      <c r="M5" s="17">
        <f t="shared" si="8"/>
        <v>0.3293851266</v>
      </c>
      <c r="N5" s="12">
        <f t="shared" si="9"/>
        <v>0.8989697555</v>
      </c>
      <c r="O5" s="12">
        <f t="shared" si="10"/>
        <v>0.3946644144</v>
      </c>
      <c r="P5" s="18">
        <f t="shared" si="11"/>
        <v>0.002988</v>
      </c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ht="15.75" customHeight="1">
      <c r="A6" s="8" t="s">
        <v>22</v>
      </c>
      <c r="B6" s="9">
        <v>25.0</v>
      </c>
      <c r="C6" s="20">
        <v>0.65</v>
      </c>
      <c r="D6" s="11">
        <f t="shared" si="1"/>
        <v>65000</v>
      </c>
      <c r="E6" s="12">
        <f t="shared" si="2"/>
        <v>0.066084375</v>
      </c>
      <c r="F6" s="13">
        <f t="shared" si="3"/>
        <v>832700.9022</v>
      </c>
      <c r="G6" s="10">
        <v>0.75</v>
      </c>
      <c r="H6" s="14">
        <f t="shared" si="4"/>
        <v>0.25</v>
      </c>
      <c r="I6" s="12">
        <f t="shared" si="5"/>
        <v>0.1231107225</v>
      </c>
      <c r="J6" s="21">
        <v>0.045</v>
      </c>
      <c r="K6" s="13">
        <f t="shared" si="6"/>
        <v>559241.9692</v>
      </c>
      <c r="L6" s="16">
        <f t="shared" si="7"/>
        <v>301649.8554</v>
      </c>
      <c r="M6" s="17">
        <f t="shared" si="8"/>
        <v>0.1622570952</v>
      </c>
      <c r="N6" s="12">
        <f t="shared" si="9"/>
        <v>0.7913991256</v>
      </c>
      <c r="O6" s="12">
        <f t="shared" si="10"/>
        <v>0.6155536126</v>
      </c>
      <c r="P6" s="18">
        <f t="shared" si="11"/>
        <v>0.002334375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ht="15.75" customHeight="1">
      <c r="A7" s="8" t="s">
        <v>23</v>
      </c>
      <c r="B7" s="9">
        <v>40.0</v>
      </c>
      <c r="C7" s="10">
        <v>0.1</v>
      </c>
      <c r="D7" s="11">
        <f t="shared" si="1"/>
        <v>10000</v>
      </c>
      <c r="E7" s="12">
        <f t="shared" si="2"/>
        <v>0.075</v>
      </c>
      <c r="F7" s="13">
        <f t="shared" si="3"/>
        <v>501371.1033</v>
      </c>
      <c r="G7" s="10">
        <v>1.0</v>
      </c>
      <c r="H7" s="14">
        <f t="shared" si="4"/>
        <v>0</v>
      </c>
      <c r="I7" s="12">
        <f t="shared" si="5"/>
        <v>0.16</v>
      </c>
      <c r="J7" s="15">
        <f>E7*0.7</f>
        <v>0.0525</v>
      </c>
      <c r="K7" s="13">
        <f t="shared" si="6"/>
        <v>244233.6809</v>
      </c>
      <c r="L7" s="16">
        <f t="shared" si="7"/>
        <v>90960.10211</v>
      </c>
      <c r="M7" s="17">
        <f t="shared" si="8"/>
        <v>0.1322023438</v>
      </c>
      <c r="N7" s="12">
        <f t="shared" si="9"/>
        <v>0.7984565926</v>
      </c>
      <c r="O7" s="12">
        <f t="shared" si="10"/>
        <v>1.011928851</v>
      </c>
      <c r="P7" s="18">
        <f t="shared" si="11"/>
        <v>0</v>
      </c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ht="15.0" customHeight="1">
      <c r="A8" s="1" t="s">
        <v>24</v>
      </c>
      <c r="B8" s="2">
        <f t="array" ref="B8">INDEX(B3:B7,MATCH(MAX(C3:C7),C3:C7,0))</f>
        <v>25</v>
      </c>
      <c r="C8" s="22">
        <f>SUM(C3:C7)</f>
        <v>1</v>
      </c>
      <c r="D8" s="23">
        <f>B10</f>
        <v>100000</v>
      </c>
      <c r="E8" s="24">
        <f t="shared" si="2"/>
        <v>0.06361230469</v>
      </c>
      <c r="F8" s="25">
        <f t="shared" si="3"/>
        <v>1221289.714</v>
      </c>
      <c r="G8" s="26">
        <f>SUMPRODUCT(C3:C7,G3:G7)</f>
        <v>0.6875</v>
      </c>
      <c r="H8" s="26">
        <f t="shared" si="4"/>
        <v>0.3125</v>
      </c>
      <c r="I8" s="24">
        <f t="shared" si="5"/>
        <v>0.1141562115</v>
      </c>
      <c r="J8" s="24">
        <f>SUMPRODUCT(J3:J7,C3:C7)</f>
        <v>0.041</v>
      </c>
      <c r="K8" s="25">
        <f t="shared" si="6"/>
        <v>799851.4808</v>
      </c>
      <c r="L8" s="27">
        <f t="shared" si="7"/>
        <v>431432.3617</v>
      </c>
      <c r="M8" s="28">
        <f t="shared" si="8"/>
        <v>0.1882434544</v>
      </c>
      <c r="N8" s="24">
        <f t="shared" si="9"/>
        <v>0.8267032363</v>
      </c>
      <c r="O8" s="24">
        <f t="shared" si="10"/>
        <v>0.5707810575</v>
      </c>
      <c r="P8" s="18">
        <f t="shared" si="11"/>
        <v>0.002674804688</v>
      </c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ht="15.75" customHeight="1">
      <c r="A9" s="5"/>
      <c r="B9" s="5"/>
      <c r="C9" s="5"/>
      <c r="D9" s="5"/>
      <c r="E9" s="5"/>
      <c r="F9" s="5"/>
      <c r="G9" s="26"/>
      <c r="H9" s="26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ht="15.0" customHeight="1">
      <c r="A10" s="29" t="s">
        <v>25</v>
      </c>
      <c r="B10" s="30">
        <v>100000.0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ht="15.75" customHeight="1">
      <c r="A11" s="31" t="s">
        <v>26</v>
      </c>
      <c r="B11" s="32">
        <v>1000.0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33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ht="15.75" customHeight="1">
      <c r="A12" s="31" t="s">
        <v>27</v>
      </c>
      <c r="B12" s="34">
        <v>0.075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33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ht="15.0" customHeight="1">
      <c r="A13" s="31" t="s">
        <v>28</v>
      </c>
      <c r="B13" s="35">
        <v>0.03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ht="15.75" customHeight="1">
      <c r="A14" s="31" t="s">
        <v>29</v>
      </c>
      <c r="B14" s="35">
        <v>0.16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ht="15.75" customHeight="1">
      <c r="A15" s="36" t="s">
        <v>30</v>
      </c>
      <c r="B15" s="37">
        <v>0.05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ht="15.75" customHeight="1">
      <c r="A16" s="7" t="s">
        <v>31</v>
      </c>
      <c r="B16" s="7">
        <v>0.2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>
      <c r="A17" s="38" t="s">
        <v>32</v>
      </c>
      <c r="B17" s="7" t="s">
        <v>18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ht="15.75" customHeight="1">
      <c r="A18" s="7" t="s">
        <v>33</v>
      </c>
      <c r="B18" s="39">
        <v>0.025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ht="15.7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ht="15.7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ht="15.7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ht="15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ht="15.7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ht="15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ht="15.7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ht="15.7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ht="15.7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ht="15.75" customHeight="1">
      <c r="A28" s="5"/>
      <c r="B28" s="5"/>
      <c r="C28" s="5"/>
      <c r="D28" s="40" t="s">
        <v>34</v>
      </c>
      <c r="E28" s="41"/>
      <c r="F28" s="41"/>
      <c r="G28" s="41"/>
      <c r="H28" s="42"/>
      <c r="I28" s="42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ht="15.75" customHeight="1">
      <c r="A29" s="5"/>
      <c r="B29" s="5"/>
      <c r="C29" s="5"/>
      <c r="D29" s="43" t="s">
        <v>35</v>
      </c>
      <c r="E29" s="44"/>
      <c r="F29" s="44"/>
      <c r="G29" s="44"/>
      <c r="H29" s="44"/>
      <c r="I29" s="4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ht="15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ht="15.7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ht="15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ht="15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ht="15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ht="15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ht="15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ht="15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ht="15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ht="15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ht="15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ht="15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ht="15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ht="15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  <c r="AB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  <c r="AB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  <c r="AB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  <c r="AB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  <c r="AB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  <c r="AB1000" s="46"/>
    </row>
  </sheetData>
  <mergeCells count="1">
    <mergeCell ref="G1:H1"/>
  </mergeCells>
  <dataValidations>
    <dataValidation type="list" allowBlank="1" showErrorMessage="1" sqref="B17">
      <formula1>'Goal Based (New)'!$T$3:$T$4</formula1>
    </dataValidation>
  </dataValidations>
  <printOptions/>
  <pageMargins bottom="0.75" footer="0.0" header="0.0" left="0.7" right="0.7" top="0.75"/>
  <pageSetup orientation="landscape"/>
  <drawing r:id="rId1"/>
</worksheet>
</file>